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6.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comments14.xml" ContentType="application/vnd.openxmlformats-officedocument.spreadsheetml.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comments15.xml" ContentType="application/vnd.openxmlformats-officedocument.spreadsheetml.comment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omments16.xml" ContentType="application/vnd.openxmlformats-officedocument.spreadsheetml.comments+xml"/>
  <Override PartName="/xl/charts/chart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17.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ink/ink1.xml" ContentType="application/inkml+xml"/>
  <Override PartName="/xl/drawings/drawing29.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drawings/drawing30.xml" ContentType="application/vnd.openxmlformats-officedocument.drawing+xml"/>
  <Override PartName="/xl/ink/ink8.xml" ContentType="application/inkml+xml"/>
  <Override PartName="/xl/drawings/drawing31.xml" ContentType="application/vnd.openxmlformats-officedocument.drawing+xml"/>
  <Override PartName="/xl/charts/chart9.xml" ContentType="application/vnd.openxmlformats-officedocument.drawingml.chart+xml"/>
  <Override PartName="/xl/drawings/drawing32.xml" ContentType="application/vnd.openxmlformats-officedocument.drawing+xml"/>
  <Override PartName="/xl/charts/chart10.xml" ContentType="application/vnd.openxmlformats-officedocument.drawingml.chart+xml"/>
  <Override PartName="/xl/drawings/drawing33.xml" ContentType="application/vnd.openxmlformats-officedocument.drawing+xml"/>
  <Override PartName="/xl/charts/chart11.xml" ContentType="application/vnd.openxmlformats-officedocument.drawingml.chart+xml"/>
  <Override PartName="/xl/drawings/drawing34.xml" ContentType="application/vnd.openxmlformats-officedocument.drawing+xml"/>
  <Override PartName="/xl/charts/chart12.xml" ContentType="application/vnd.openxmlformats-officedocument.drawingml.chart+xml"/>
  <Override PartName="/xl/drawings/drawing35.xml" ContentType="application/vnd.openxmlformats-officedocument.drawing+xml"/>
  <Override PartName="/xl/charts/chart13.xml" ContentType="application/vnd.openxmlformats-officedocument.drawingml.chart+xml"/>
  <Override PartName="/xl/drawings/drawing36.xml" ContentType="application/vnd.openxmlformats-officedocument.drawing+xml"/>
  <Override PartName="/xl/charts/chart14.xml" ContentType="application/vnd.openxmlformats-officedocument.drawingml.chart+xml"/>
  <Override PartName="/xl/drawings/drawing37.xml" ContentType="application/vnd.openxmlformats-officedocument.drawing+xml"/>
  <Override PartName="/xl/charts/chart15.xml" ContentType="application/vnd.openxmlformats-officedocument.drawingml.chart+xml"/>
  <Override PartName="/xl/drawings/drawing38.xml" ContentType="application/vnd.openxmlformats-officedocument.drawing+xml"/>
  <Override PartName="/xl/charts/chart16.xml" ContentType="application/vnd.openxmlformats-officedocument.drawingml.chart+xml"/>
  <Override PartName="/xl/drawings/drawing39.xml" ContentType="application/vnd.openxmlformats-officedocument.drawing+xml"/>
  <Override PartName="/xl/comments18.xml" ContentType="application/vnd.openxmlformats-officedocument.spreadsheetml.comments+xml"/>
  <Override PartName="/xl/charts/chart17.xml" ContentType="application/vnd.openxmlformats-officedocument.drawingml.chart+xml"/>
  <Override PartName="/xl/drawings/drawing40.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41.xml" ContentType="application/vnd.openxmlformats-officedocument.drawing+xml"/>
  <Override PartName="/xl/drawings/drawing42.xml" ContentType="application/vnd.openxmlformats-officedocument.drawing+xml"/>
  <Override PartName="/xl/embeddings/oleObject4.bin" ContentType="application/vnd.openxmlformats-officedocument.oleObject"/>
  <Override PartName="/xl/drawings/drawing43.xml" ContentType="application/vnd.openxmlformats-officedocument.drawing+xml"/>
  <Override PartName="/xl/comments19.xml" ContentType="application/vnd.openxmlformats-officedocument.spreadsheetml.comments+xml"/>
  <Override PartName="/xl/charts/chart18.xml" ContentType="application/vnd.openxmlformats-officedocument.drawingml.chart+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9.xml" ContentType="application/vnd.ms-office.chartstyle+xml"/>
  <Override PartName="/xl/charts/colors9.xml" ContentType="application/vnd.ms-office.chartcolorstyle+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drawings/drawing50.xml" ContentType="application/vnd.openxmlformats-officedocument.drawing+xml"/>
  <Override PartName="/xl/charts/chart25.xml" ContentType="application/vnd.openxmlformats-officedocument.drawingml.chart+xml"/>
  <Override PartName="/xl/drawings/drawing51.xml" ContentType="application/vnd.openxmlformats-officedocument.drawing+xml"/>
  <Override PartName="/xl/charts/chart2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ancien pc\Cycle ing\ing2 s2\applied derivatives\"/>
    </mc:Choice>
  </mc:AlternateContent>
  <xr:revisionPtr revIDLastSave="0" documentId="13_ncr:1_{3B68693E-CABA-402C-A955-F4D34562B58A}" xr6:coauthVersionLast="47" xr6:coauthVersionMax="47" xr10:uidLastSave="{00000000-0000-0000-0000-000000000000}"/>
  <bookViews>
    <workbookView xWindow="-108" yWindow="-108" windowWidth="23256" windowHeight="12456" firstSheet="61" activeTab="67" xr2:uid="{00000000-000D-0000-FFFF-FFFF00000000}"/>
  </bookViews>
  <sheets>
    <sheet name="Slide 5" sheetId="149" r:id="rId1"/>
    <sheet name="Slide 13a" sheetId="150" r:id="rId2"/>
    <sheet name="Slide 13b" sheetId="151" r:id="rId3"/>
    <sheet name="Slide 16" sheetId="153" r:id="rId4"/>
    <sheet name="Slide 17_new" sheetId="232" r:id="rId5"/>
    <sheet name="Slide 20" sheetId="155" r:id="rId6"/>
    <sheet name="Slide 27" sheetId="156" r:id="rId7"/>
    <sheet name="Slide 29a" sheetId="158" r:id="rId8"/>
    <sheet name="Slide 29b" sheetId="157" r:id="rId9"/>
    <sheet name="Slide 36" sheetId="159" r:id="rId10"/>
    <sheet name="Slide 37" sheetId="160" r:id="rId11"/>
    <sheet name="Slide 37_new" sheetId="233" r:id="rId12"/>
    <sheet name="Slide 38" sheetId="162" r:id="rId13"/>
    <sheet name="Slide 40" sheetId="163" r:id="rId14"/>
    <sheet name="Slide 40_General" sheetId="164" r:id="rId15"/>
    <sheet name="Slide 47a" sheetId="165" r:id="rId16"/>
    <sheet name="Slide 47b" sheetId="166" r:id="rId17"/>
    <sheet name="Slide 47c" sheetId="167" r:id="rId18"/>
    <sheet name="Slide 47c1_new" sheetId="234" r:id="rId19"/>
    <sheet name="Slide 47c2_new" sheetId="235" r:id="rId20"/>
    <sheet name="Slide 48_new" sheetId="236" r:id="rId21"/>
    <sheet name="Slide 49 A over A_new" sheetId="237" r:id="rId22"/>
    <sheet name="Slide 49 A over 360_new" sheetId="238" r:id="rId23"/>
    <sheet name="Slide 50_new" sheetId="239" r:id="rId24"/>
    <sheet name="Slide 52a - regular" sheetId="173" r:id="rId25"/>
    <sheet name="Slide 52b - zero" sheetId="174" r:id="rId26"/>
    <sheet name="Slide 52c - comparison" sheetId="175" r:id="rId27"/>
    <sheet name="Slide 53a" sheetId="176" r:id="rId28"/>
    <sheet name="Slide 53b" sheetId="177" r:id="rId29"/>
    <sheet name="Slide 54" sheetId="178" r:id="rId30"/>
    <sheet name="Slide 64a" sheetId="179" r:id="rId31"/>
    <sheet name="Slide 64b" sheetId="180" r:id="rId32"/>
    <sheet name="Slide 69" sheetId="181" r:id="rId33"/>
    <sheet name="Slide 70_new" sheetId="240" r:id="rId34"/>
    <sheet name="Slide 73 (3 instruments)" sheetId="183" r:id="rId35"/>
    <sheet name="Slide 73 (4 instruments)" sheetId="184" r:id="rId36"/>
    <sheet name="Slide 73 (all instruments)" sheetId="185" r:id="rId37"/>
    <sheet name="Slide 76_new" sheetId="241" r:id="rId38"/>
    <sheet name="Slide 77_1" sheetId="106" r:id="rId39"/>
    <sheet name="Slide 77_2" sheetId="107" r:id="rId40"/>
    <sheet name="Slide 77_3" sheetId="108" r:id="rId41"/>
    <sheet name="Slide 78" sheetId="186" r:id="rId42"/>
    <sheet name="Slide 78_new" sheetId="242" r:id="rId43"/>
    <sheet name="Slide 81" sheetId="187" r:id="rId44"/>
    <sheet name="Slide 82" sheetId="188" r:id="rId45"/>
    <sheet name="Slide 84" sheetId="189" r:id="rId46"/>
    <sheet name="Slide 86a" sheetId="190" r:id="rId47"/>
    <sheet name="Slide 86b" sheetId="191" r:id="rId48"/>
    <sheet name="Slide 87_new" sheetId="243" r:id="rId49"/>
    <sheet name="Slide 91" sheetId="193" r:id="rId50"/>
    <sheet name="Slide 94_data" sheetId="194" r:id="rId51"/>
    <sheet name="Slide 94_solution" sheetId="195" r:id="rId52"/>
    <sheet name="Slide 98a" sheetId="196" r:id="rId53"/>
    <sheet name="Slide 98b" sheetId="197" r:id="rId54"/>
    <sheet name="Slide 101 - 1" sheetId="198" r:id="rId55"/>
    <sheet name="Slide 101 - 2" sheetId="199" r:id="rId56"/>
    <sheet name="Slide 101 - 3" sheetId="200" r:id="rId57"/>
    <sheet name="Slide 103a" sheetId="201" r:id="rId58"/>
    <sheet name="Slide 103b" sheetId="202" r:id="rId59"/>
    <sheet name="Slide 104" sheetId="228" r:id="rId60"/>
    <sheet name="Slide 104_new" sheetId="244" r:id="rId61"/>
    <sheet name="Slide 111" sheetId="204" r:id="rId62"/>
    <sheet name="Slide 112" sheetId="230" r:id="rId63"/>
    <sheet name="Slide 112_new" sheetId="245" r:id="rId64"/>
    <sheet name="Slide 113" sheetId="229" r:id="rId65"/>
    <sheet name="Slide 113_new" sheetId="246" r:id="rId66"/>
    <sheet name="Slide 114" sheetId="231" r:id="rId67"/>
    <sheet name="Slide 114_new" sheetId="247" r:id="rId68"/>
    <sheet name="Slide 118a" sheetId="208" r:id="rId69"/>
    <sheet name="Slide 118b" sheetId="209" r:id="rId70"/>
    <sheet name="Slide 123a" sheetId="118" r:id="rId71"/>
    <sheet name="Slide 123b" sheetId="119" r:id="rId72"/>
    <sheet name="Slide 123c" sheetId="120" r:id="rId73"/>
    <sheet name="Slide 124" sheetId="121" r:id="rId74"/>
    <sheet name="Slide 126 (Bear Spread)_new (2)" sheetId="272" r:id="rId75"/>
    <sheet name="Slide 126 (Bear Spread)_new" sheetId="248" r:id="rId76"/>
    <sheet name="Slide 126 (Straddle)_new (2)" sheetId="273" r:id="rId77"/>
    <sheet name="Slide 126 (Straddle)_new" sheetId="249" r:id="rId78"/>
    <sheet name="Slide 126 (Strangle)_new" sheetId="250" r:id="rId79"/>
    <sheet name="Slide 126 (Calendar Spread)_new" sheetId="251" r:id="rId80"/>
    <sheet name="Slide 126 (Diagonal Spread)_new" sheetId="252" r:id="rId81"/>
    <sheet name="Slide 126 (Butterly Spread)_new" sheetId="253" r:id="rId82"/>
    <sheet name="Slide 142" sheetId="210" r:id="rId83"/>
    <sheet name="Slide 144_new" sheetId="254" r:id="rId84"/>
    <sheet name="Slide 145a_new" sheetId="256" r:id="rId85"/>
    <sheet name="Slide 145b_new" sheetId="257" r:id="rId86"/>
    <sheet name="Slide 145c-e_new" sheetId="258" r:id="rId87"/>
    <sheet name="Slide 145f_new" sheetId="259" r:id="rId88"/>
    <sheet name="Slide 145g_new" sheetId="260" r:id="rId89"/>
    <sheet name="Slide 150_new" sheetId="261" r:id="rId90"/>
    <sheet name="Slide 151_new" sheetId="262" r:id="rId91"/>
    <sheet name="Slide 154a" sheetId="219" r:id="rId92"/>
    <sheet name="Slide 154b" sheetId="217" r:id="rId93"/>
    <sheet name="Slide 155" sheetId="218" r:id="rId94"/>
    <sheet name="Slide 156_new" sheetId="263" r:id="rId95"/>
    <sheet name="Slide 159 _1_new" sheetId="264" r:id="rId96"/>
    <sheet name="Slide 159 _2_new" sheetId="265" r:id="rId97"/>
    <sheet name="Slide 159 _3_new" sheetId="266" r:id="rId98"/>
    <sheet name="Slide 165" sheetId="224" r:id="rId99"/>
    <sheet name="Slide 167" sheetId="225" r:id="rId100"/>
    <sheet name="Slide 168" sheetId="226" r:id="rId101"/>
    <sheet name="Slide 169" sheetId="227" r:id="rId102"/>
    <sheet name="Slide 169-Binary" sheetId="270" r:id="rId103"/>
    <sheet name="Slide 169-Non-linear" sheetId="269" r:id="rId104"/>
    <sheet name="Slide 170" sheetId="267" r:id="rId105"/>
    <sheet name="Slide 126 (Straddle)_new (2 (3)" sheetId="274" r:id="rId106"/>
    <sheet name="Question 2ac" sheetId="275" r:id="rId107"/>
  </sheets>
  <externalReferences>
    <externalReference r:id="rId108"/>
  </externalReferences>
  <definedNames>
    <definedName name="solver_adj" localSheetId="106" hidden="1">'Question 2ac'!#REF!</definedName>
    <definedName name="solver_adj" localSheetId="54" hidden="1">'Slide 101 - 1'!#REF!</definedName>
    <definedName name="solver_adj" localSheetId="55" hidden="1">'Slide 101 - 2'!#REF!</definedName>
    <definedName name="solver_adj" localSheetId="56" hidden="1">'Slide 101 - 3'!#REF!</definedName>
    <definedName name="solver_adj" localSheetId="57" hidden="1">'Slide 103a'!#REF!</definedName>
    <definedName name="solver_adj" localSheetId="58" hidden="1">'Slide 103b'!#REF!</definedName>
    <definedName name="solver_adj" localSheetId="59" hidden="1">'Slide 104'!#REF!</definedName>
    <definedName name="solver_adj" localSheetId="60" hidden="1">'Slide 104_new'!#REF!</definedName>
    <definedName name="solver_adj" localSheetId="61" hidden="1">'Slide 111'!#REF!</definedName>
    <definedName name="solver_adj" localSheetId="62" hidden="1">'Slide 112'!#REF!</definedName>
    <definedName name="solver_adj" localSheetId="63" hidden="1">'Slide 112_new'!#REF!</definedName>
    <definedName name="solver_adj" localSheetId="64" hidden="1">'Slide 113'!#REF!</definedName>
    <definedName name="solver_adj" localSheetId="65" hidden="1">'Slide 113_new'!#REF!</definedName>
    <definedName name="solver_adj" localSheetId="66" hidden="1">'Slide 114'!#REF!</definedName>
    <definedName name="solver_adj" localSheetId="67" hidden="1">'Slide 114_new'!#REF!</definedName>
    <definedName name="solver_adj" localSheetId="75" hidden="1">'Slide 126 (Bear Spread)_new'!#REF!</definedName>
    <definedName name="solver_adj" localSheetId="74" hidden="1">'Slide 126 (Bear Spread)_new (2)'!#REF!</definedName>
    <definedName name="solver_adj" localSheetId="81" hidden="1">'Slide 126 (Butterly Spread)_new'!#REF!</definedName>
    <definedName name="solver_adj" localSheetId="79" hidden="1">'Slide 126 (Calendar Spread)_new'!#REF!</definedName>
    <definedName name="solver_adj" localSheetId="80" hidden="1">'Slide 126 (Diagonal Spread)_new'!#REF!</definedName>
    <definedName name="solver_adj" localSheetId="77" hidden="1">'Slide 126 (Straddle)_new'!#REF!</definedName>
    <definedName name="solver_adj" localSheetId="105" hidden="1">'Slide 126 (Straddle)_new (2 (3)'!#REF!</definedName>
    <definedName name="solver_adj" localSheetId="76" hidden="1">'Slide 126 (Straddle)_new (2)'!#REF!</definedName>
    <definedName name="solver_adj" localSheetId="78" hidden="1">'Slide 126 (Strangle)_new'!#REF!</definedName>
    <definedName name="solver_adj" localSheetId="82" hidden="1">'Slide 142'!#REF!</definedName>
    <definedName name="solver_adj" localSheetId="88" hidden="1">'Slide 145g_new'!#REF!</definedName>
    <definedName name="solver_adj" localSheetId="95" hidden="1">'Slide 159 _1_new'!#REF!</definedName>
    <definedName name="solver_adj" localSheetId="97" hidden="1">'Slide 159 _3_new'!#REF!</definedName>
    <definedName name="solver_adj" localSheetId="6" hidden="1">'Slide 27'!#REF!</definedName>
    <definedName name="solver_adj" localSheetId="14" hidden="1">'Slide 40_General'!$C$9</definedName>
    <definedName name="solver_adj" localSheetId="20" hidden="1">'Slide 48_new'!$B$6</definedName>
    <definedName name="solver_adj" localSheetId="22" hidden="1">'Slide 49 A over 360_new'!$B$6</definedName>
    <definedName name="solver_adj" localSheetId="21" hidden="1">'Slide 49 A over A_new'!$B$6</definedName>
    <definedName name="solver_adj" localSheetId="23" hidden="1">'Slide 50_new'!$B$6</definedName>
    <definedName name="solver_adj" localSheetId="30" hidden="1">'Slide 64a'!#REF!</definedName>
    <definedName name="solver_adj" localSheetId="31" hidden="1">'Slide 64b'!#REF!</definedName>
    <definedName name="solver_adj" localSheetId="32" hidden="1">'Slide 69'!#REF!</definedName>
    <definedName name="solver_adj" localSheetId="33" hidden="1">'Slide 70_new'!#REF!</definedName>
    <definedName name="solver_adj" localSheetId="34" hidden="1">'Slide 73 (3 instruments)'!#REF!</definedName>
    <definedName name="solver_adj" localSheetId="35" hidden="1">'Slide 73 (4 instruments)'!#REF!</definedName>
    <definedName name="solver_adj" localSheetId="36" hidden="1">'Slide 73 (all instruments)'!$E$43</definedName>
    <definedName name="solver_adj" localSheetId="37" hidden="1">'Slide 76_new'!#REF!</definedName>
    <definedName name="solver_adj" localSheetId="38" hidden="1">'Slide 77_1'!#REF!</definedName>
    <definedName name="solver_adj" localSheetId="39" hidden="1">'Slide 77_2'!#REF!</definedName>
    <definedName name="solver_adj" localSheetId="40" hidden="1">'Slide 77_3'!#REF!</definedName>
    <definedName name="solver_adj" localSheetId="43" hidden="1">'Slide 81'!#REF!</definedName>
    <definedName name="solver_adj" localSheetId="45" hidden="1">'Slide 84'!#REF!</definedName>
    <definedName name="solver_adj" localSheetId="46" hidden="1">'Slide 86a'!#REF!</definedName>
    <definedName name="solver_adj" localSheetId="47" hidden="1">'Slide 86b'!#REF!</definedName>
    <definedName name="solver_adj" localSheetId="49" hidden="1">'Slide 91'!#REF!</definedName>
    <definedName name="solver_adj" localSheetId="50" hidden="1">'Slide 94_data'!#REF!</definedName>
    <definedName name="solver_adj" localSheetId="51" hidden="1">'Slide 94_solution'!#REF!</definedName>
    <definedName name="solver_cvg" localSheetId="106" hidden="1">0.0001</definedName>
    <definedName name="solver_cvg" localSheetId="54" hidden="1">0.0001</definedName>
    <definedName name="solver_cvg" localSheetId="55" hidden="1">0.0001</definedName>
    <definedName name="solver_cvg" localSheetId="56" hidden="1">0.0001</definedName>
    <definedName name="solver_cvg" localSheetId="57" hidden="1">0.0001</definedName>
    <definedName name="solver_cvg" localSheetId="58" hidden="1">0.0001</definedName>
    <definedName name="solver_cvg" localSheetId="59" hidden="1">0.0001</definedName>
    <definedName name="solver_cvg" localSheetId="60" hidden="1">0.0001</definedName>
    <definedName name="solver_cvg" localSheetId="61" hidden="1">0.0001</definedName>
    <definedName name="solver_cvg" localSheetId="62" hidden="1">0.0001</definedName>
    <definedName name="solver_cvg" localSheetId="63" hidden="1">0.0001</definedName>
    <definedName name="solver_cvg" localSheetId="64" hidden="1">0.0001</definedName>
    <definedName name="solver_cvg" localSheetId="65" hidden="1">0.0001</definedName>
    <definedName name="solver_cvg" localSheetId="66" hidden="1">0.0001</definedName>
    <definedName name="solver_cvg" localSheetId="67" hidden="1">0.0001</definedName>
    <definedName name="solver_cvg" localSheetId="75" hidden="1">0.0001</definedName>
    <definedName name="solver_cvg" localSheetId="74" hidden="1">0.0001</definedName>
    <definedName name="solver_cvg" localSheetId="81" hidden="1">0.0001</definedName>
    <definedName name="solver_cvg" localSheetId="79" hidden="1">0.0001</definedName>
    <definedName name="solver_cvg" localSheetId="80" hidden="1">0.0001</definedName>
    <definedName name="solver_cvg" localSheetId="77" hidden="1">0.0001</definedName>
    <definedName name="solver_cvg" localSheetId="105" hidden="1">0.0001</definedName>
    <definedName name="solver_cvg" localSheetId="76" hidden="1">0.0001</definedName>
    <definedName name="solver_cvg" localSheetId="78" hidden="1">0.0001</definedName>
    <definedName name="solver_cvg" localSheetId="82" hidden="1">0.0001</definedName>
    <definedName name="solver_cvg" localSheetId="88" hidden="1">0.0001</definedName>
    <definedName name="solver_cvg" localSheetId="95" hidden="1">0.0001</definedName>
    <definedName name="solver_cvg" localSheetId="96" hidden="1">0.0001</definedName>
    <definedName name="solver_cvg" localSheetId="97" hidden="1">0.0001</definedName>
    <definedName name="solver_cvg" localSheetId="6" hidden="1">0.0001</definedName>
    <definedName name="solver_cvg" localSheetId="14" hidden="1">0.0001</definedName>
    <definedName name="solver_cvg" localSheetId="20" hidden="1">0.0001</definedName>
    <definedName name="solver_cvg" localSheetId="22" hidden="1">0.0001</definedName>
    <definedName name="solver_cvg" localSheetId="21" hidden="1">0.0001</definedName>
    <definedName name="solver_cvg" localSheetId="23" hidden="1">0.0001</definedName>
    <definedName name="solver_cvg" localSheetId="30" hidden="1">0.0001</definedName>
    <definedName name="solver_cvg" localSheetId="31" hidden="1">0.0001</definedName>
    <definedName name="solver_cvg" localSheetId="32" hidden="1">0.0001</definedName>
    <definedName name="solver_cvg" localSheetId="33" hidden="1">0.0001</definedName>
    <definedName name="solver_cvg" localSheetId="34" hidden="1">0.0001</definedName>
    <definedName name="solver_cvg" localSheetId="35" hidden="1">0.0001</definedName>
    <definedName name="solver_cvg" localSheetId="36" hidden="1">0.0001</definedName>
    <definedName name="solver_cvg" localSheetId="37" hidden="1">0.0001</definedName>
    <definedName name="solver_cvg" localSheetId="38" hidden="1">0.0001</definedName>
    <definedName name="solver_cvg" localSheetId="39" hidden="1">0.0001</definedName>
    <definedName name="solver_cvg" localSheetId="40" hidden="1">0.0001</definedName>
    <definedName name="solver_cvg" localSheetId="43" hidden="1">0.0001</definedName>
    <definedName name="solver_cvg" localSheetId="45" hidden="1">0.0001</definedName>
    <definedName name="solver_cvg" localSheetId="46" hidden="1">0.0001</definedName>
    <definedName name="solver_cvg" localSheetId="47" hidden="1">0.0001</definedName>
    <definedName name="solver_cvg" localSheetId="49" hidden="1">0.0001</definedName>
    <definedName name="solver_cvg" localSheetId="50" hidden="1">0.0001</definedName>
    <definedName name="solver_cvg" localSheetId="51" hidden="1">0.0001</definedName>
    <definedName name="solver_drv" localSheetId="106" hidden="1">1</definedName>
    <definedName name="solver_drv" localSheetId="54" hidden="1">1</definedName>
    <definedName name="solver_drv" localSheetId="55" hidden="1">1</definedName>
    <definedName name="solver_drv" localSheetId="56" hidden="1">1</definedName>
    <definedName name="solver_drv" localSheetId="57" hidden="1">1</definedName>
    <definedName name="solver_drv" localSheetId="58" hidden="1">1</definedName>
    <definedName name="solver_drv" localSheetId="59" hidden="1">1</definedName>
    <definedName name="solver_drv" localSheetId="60" hidden="1">1</definedName>
    <definedName name="solver_drv" localSheetId="61" hidden="1">1</definedName>
    <definedName name="solver_drv" localSheetId="62" hidden="1">1</definedName>
    <definedName name="solver_drv" localSheetId="63" hidden="1">1</definedName>
    <definedName name="solver_drv" localSheetId="64" hidden="1">1</definedName>
    <definedName name="solver_drv" localSheetId="65" hidden="1">1</definedName>
    <definedName name="solver_drv" localSheetId="66" hidden="1">1</definedName>
    <definedName name="solver_drv" localSheetId="67" hidden="1">1</definedName>
    <definedName name="solver_drv" localSheetId="75" hidden="1">1</definedName>
    <definedName name="solver_drv" localSheetId="74" hidden="1">1</definedName>
    <definedName name="solver_drv" localSheetId="81" hidden="1">1</definedName>
    <definedName name="solver_drv" localSheetId="79" hidden="1">1</definedName>
    <definedName name="solver_drv" localSheetId="80" hidden="1">1</definedName>
    <definedName name="solver_drv" localSheetId="77" hidden="1">1</definedName>
    <definedName name="solver_drv" localSheetId="105" hidden="1">1</definedName>
    <definedName name="solver_drv" localSheetId="76" hidden="1">1</definedName>
    <definedName name="solver_drv" localSheetId="78" hidden="1">1</definedName>
    <definedName name="solver_drv" localSheetId="82" hidden="1">1</definedName>
    <definedName name="solver_drv" localSheetId="88" hidden="1">1</definedName>
    <definedName name="solver_drv" localSheetId="95" hidden="1">1</definedName>
    <definedName name="solver_drv" localSheetId="96" hidden="1">1</definedName>
    <definedName name="solver_drv" localSheetId="97" hidden="1">1</definedName>
    <definedName name="solver_drv" localSheetId="6" hidden="1">1</definedName>
    <definedName name="solver_drv" localSheetId="14" hidden="1">2</definedName>
    <definedName name="solver_drv" localSheetId="20" hidden="1">1</definedName>
    <definedName name="solver_drv" localSheetId="22" hidden="1">1</definedName>
    <definedName name="solver_drv" localSheetId="21" hidden="1">1</definedName>
    <definedName name="solver_drv" localSheetId="23" hidden="1">1</definedName>
    <definedName name="solver_drv" localSheetId="30" hidden="1">1</definedName>
    <definedName name="solver_drv" localSheetId="31" hidden="1">1</definedName>
    <definedName name="solver_drv" localSheetId="32" hidden="1">1</definedName>
    <definedName name="solver_drv" localSheetId="33" hidden="1">1</definedName>
    <definedName name="solver_drv" localSheetId="34" hidden="1">1</definedName>
    <definedName name="solver_drv" localSheetId="35" hidden="1">1</definedName>
    <definedName name="solver_drv" localSheetId="36" hidden="1">1</definedName>
    <definedName name="solver_drv" localSheetId="37" hidden="1">1</definedName>
    <definedName name="solver_drv" localSheetId="38" hidden="1">1</definedName>
    <definedName name="solver_drv" localSheetId="39" hidden="1">1</definedName>
    <definedName name="solver_drv" localSheetId="40" hidden="1">1</definedName>
    <definedName name="solver_drv" localSheetId="43" hidden="1">1</definedName>
    <definedName name="solver_drv" localSheetId="45" hidden="1">1</definedName>
    <definedName name="solver_drv" localSheetId="46" hidden="1">1</definedName>
    <definedName name="solver_drv" localSheetId="47" hidden="1">1</definedName>
    <definedName name="solver_drv" localSheetId="49" hidden="1">1</definedName>
    <definedName name="solver_drv" localSheetId="50" hidden="1">1</definedName>
    <definedName name="solver_drv" localSheetId="51" hidden="1">1</definedName>
    <definedName name="solver_eng" localSheetId="94" hidden="1">1</definedName>
    <definedName name="solver_eng" localSheetId="96" hidden="1">1</definedName>
    <definedName name="solver_eng" localSheetId="14" hidden="1">1</definedName>
    <definedName name="solver_est" localSheetId="106" hidden="1">1</definedName>
    <definedName name="solver_est" localSheetId="54" hidden="1">1</definedName>
    <definedName name="solver_est" localSheetId="55" hidden="1">1</definedName>
    <definedName name="solver_est" localSheetId="56" hidden="1">1</definedName>
    <definedName name="solver_est" localSheetId="57" hidden="1">1</definedName>
    <definedName name="solver_est" localSheetId="58" hidden="1">1</definedName>
    <definedName name="solver_est" localSheetId="59" hidden="1">1</definedName>
    <definedName name="solver_est" localSheetId="60" hidden="1">1</definedName>
    <definedName name="solver_est" localSheetId="61" hidden="1">1</definedName>
    <definedName name="solver_est" localSheetId="62" hidden="1">1</definedName>
    <definedName name="solver_est" localSheetId="63" hidden="1">1</definedName>
    <definedName name="solver_est" localSheetId="64" hidden="1">1</definedName>
    <definedName name="solver_est" localSheetId="65" hidden="1">1</definedName>
    <definedName name="solver_est" localSheetId="66" hidden="1">1</definedName>
    <definedName name="solver_est" localSheetId="67" hidden="1">1</definedName>
    <definedName name="solver_est" localSheetId="75" hidden="1">1</definedName>
    <definedName name="solver_est" localSheetId="74" hidden="1">1</definedName>
    <definedName name="solver_est" localSheetId="81" hidden="1">1</definedName>
    <definedName name="solver_est" localSheetId="79" hidden="1">1</definedName>
    <definedName name="solver_est" localSheetId="80" hidden="1">1</definedName>
    <definedName name="solver_est" localSheetId="77" hidden="1">1</definedName>
    <definedName name="solver_est" localSheetId="105" hidden="1">1</definedName>
    <definedName name="solver_est" localSheetId="76" hidden="1">1</definedName>
    <definedName name="solver_est" localSheetId="78" hidden="1">1</definedName>
    <definedName name="solver_est" localSheetId="82" hidden="1">1</definedName>
    <definedName name="solver_est" localSheetId="88" hidden="1">1</definedName>
    <definedName name="solver_est" localSheetId="95" hidden="1">1</definedName>
    <definedName name="solver_est" localSheetId="96" hidden="1">1</definedName>
    <definedName name="solver_est" localSheetId="97" hidden="1">1</definedName>
    <definedName name="solver_est" localSheetId="6" hidden="1">1</definedName>
    <definedName name="solver_est" localSheetId="14" hidden="1">1</definedName>
    <definedName name="solver_est" localSheetId="20" hidden="1">1</definedName>
    <definedName name="solver_est" localSheetId="22" hidden="1">1</definedName>
    <definedName name="solver_est" localSheetId="21" hidden="1">1</definedName>
    <definedName name="solver_est" localSheetId="23" hidden="1">1</definedName>
    <definedName name="solver_est" localSheetId="30" hidden="1">1</definedName>
    <definedName name="solver_est" localSheetId="31" hidden="1">1</definedName>
    <definedName name="solver_est" localSheetId="32" hidden="1">1</definedName>
    <definedName name="solver_est" localSheetId="33" hidden="1">1</definedName>
    <definedName name="solver_est" localSheetId="34" hidden="1">1</definedName>
    <definedName name="solver_est" localSheetId="35" hidden="1">1</definedName>
    <definedName name="solver_est" localSheetId="36" hidden="1">1</definedName>
    <definedName name="solver_est" localSheetId="37" hidden="1">1</definedName>
    <definedName name="solver_est" localSheetId="38" hidden="1">1</definedName>
    <definedName name="solver_est" localSheetId="39" hidden="1">1</definedName>
    <definedName name="solver_est" localSheetId="40" hidden="1">1</definedName>
    <definedName name="solver_est" localSheetId="43" hidden="1">1</definedName>
    <definedName name="solver_est" localSheetId="45" hidden="1">1</definedName>
    <definedName name="solver_est" localSheetId="46" hidden="1">1</definedName>
    <definedName name="solver_est" localSheetId="47" hidden="1">1</definedName>
    <definedName name="solver_est" localSheetId="49" hidden="1">1</definedName>
    <definedName name="solver_est" localSheetId="50" hidden="1">1</definedName>
    <definedName name="solver_est" localSheetId="51" hidden="1">1</definedName>
    <definedName name="solver_itr" localSheetId="106" hidden="1">100</definedName>
    <definedName name="solver_itr" localSheetId="54" hidden="1">100</definedName>
    <definedName name="solver_itr" localSheetId="55" hidden="1">100</definedName>
    <definedName name="solver_itr" localSheetId="56" hidden="1">100</definedName>
    <definedName name="solver_itr" localSheetId="57" hidden="1">100</definedName>
    <definedName name="solver_itr" localSheetId="58" hidden="1">100</definedName>
    <definedName name="solver_itr" localSheetId="59" hidden="1">100</definedName>
    <definedName name="solver_itr" localSheetId="60" hidden="1">100</definedName>
    <definedName name="solver_itr" localSheetId="61" hidden="1">100</definedName>
    <definedName name="solver_itr" localSheetId="62" hidden="1">100</definedName>
    <definedName name="solver_itr" localSheetId="63" hidden="1">100</definedName>
    <definedName name="solver_itr" localSheetId="64" hidden="1">100</definedName>
    <definedName name="solver_itr" localSheetId="65" hidden="1">100</definedName>
    <definedName name="solver_itr" localSheetId="66" hidden="1">100</definedName>
    <definedName name="solver_itr" localSheetId="67" hidden="1">100</definedName>
    <definedName name="solver_itr" localSheetId="75" hidden="1">100</definedName>
    <definedName name="solver_itr" localSheetId="74" hidden="1">100</definedName>
    <definedName name="solver_itr" localSheetId="81" hidden="1">100</definedName>
    <definedName name="solver_itr" localSheetId="79" hidden="1">100</definedName>
    <definedName name="solver_itr" localSheetId="80" hidden="1">100</definedName>
    <definedName name="solver_itr" localSheetId="77" hidden="1">100</definedName>
    <definedName name="solver_itr" localSheetId="105" hidden="1">100</definedName>
    <definedName name="solver_itr" localSheetId="76" hidden="1">100</definedName>
    <definedName name="solver_itr" localSheetId="78" hidden="1">100</definedName>
    <definedName name="solver_itr" localSheetId="82" hidden="1">100</definedName>
    <definedName name="solver_itr" localSheetId="88" hidden="1">100</definedName>
    <definedName name="solver_itr" localSheetId="95" hidden="1">100</definedName>
    <definedName name="solver_itr" localSheetId="96" hidden="1">100</definedName>
    <definedName name="solver_itr" localSheetId="97" hidden="1">100</definedName>
    <definedName name="solver_itr" localSheetId="6" hidden="1">100</definedName>
    <definedName name="solver_itr" localSheetId="14" hidden="1">2147483647</definedName>
    <definedName name="solver_itr" localSheetId="20" hidden="1">100</definedName>
    <definedName name="solver_itr" localSheetId="22" hidden="1">100</definedName>
    <definedName name="solver_itr" localSheetId="21" hidden="1">100</definedName>
    <definedName name="solver_itr" localSheetId="23" hidden="1">100</definedName>
    <definedName name="solver_itr" localSheetId="30" hidden="1">100</definedName>
    <definedName name="solver_itr" localSheetId="31" hidden="1">100</definedName>
    <definedName name="solver_itr" localSheetId="32" hidden="1">100</definedName>
    <definedName name="solver_itr" localSheetId="33" hidden="1">100</definedName>
    <definedName name="solver_itr" localSheetId="34" hidden="1">100</definedName>
    <definedName name="solver_itr" localSheetId="35" hidden="1">100</definedName>
    <definedName name="solver_itr" localSheetId="36" hidden="1">100</definedName>
    <definedName name="solver_itr" localSheetId="37" hidden="1">100</definedName>
    <definedName name="solver_itr" localSheetId="38" hidden="1">100</definedName>
    <definedName name="solver_itr" localSheetId="39" hidden="1">100</definedName>
    <definedName name="solver_itr" localSheetId="40" hidden="1">100</definedName>
    <definedName name="solver_itr" localSheetId="43" hidden="1">100</definedName>
    <definedName name="solver_itr" localSheetId="45" hidden="1">100</definedName>
    <definedName name="solver_itr" localSheetId="46" hidden="1">100</definedName>
    <definedName name="solver_itr" localSheetId="47" hidden="1">100</definedName>
    <definedName name="solver_itr" localSheetId="49" hidden="1">100</definedName>
    <definedName name="solver_itr" localSheetId="50" hidden="1">100</definedName>
    <definedName name="solver_itr" localSheetId="51" hidden="1">100</definedName>
    <definedName name="solver_lin" localSheetId="106" hidden="1">2</definedName>
    <definedName name="solver_lin" localSheetId="54" hidden="1">2</definedName>
    <definedName name="solver_lin" localSheetId="55" hidden="1">2</definedName>
    <definedName name="solver_lin" localSheetId="56" hidden="1">2</definedName>
    <definedName name="solver_lin" localSheetId="57" hidden="1">2</definedName>
    <definedName name="solver_lin" localSheetId="58" hidden="1">2</definedName>
    <definedName name="solver_lin" localSheetId="59" hidden="1">2</definedName>
    <definedName name="solver_lin" localSheetId="60" hidden="1">2</definedName>
    <definedName name="solver_lin" localSheetId="61" hidden="1">2</definedName>
    <definedName name="solver_lin" localSheetId="62" hidden="1">2</definedName>
    <definedName name="solver_lin" localSheetId="63" hidden="1">2</definedName>
    <definedName name="solver_lin" localSheetId="64" hidden="1">2</definedName>
    <definedName name="solver_lin" localSheetId="65" hidden="1">2</definedName>
    <definedName name="solver_lin" localSheetId="66" hidden="1">2</definedName>
    <definedName name="solver_lin" localSheetId="67" hidden="1">2</definedName>
    <definedName name="solver_lin" localSheetId="75" hidden="1">2</definedName>
    <definedName name="solver_lin" localSheetId="74" hidden="1">2</definedName>
    <definedName name="solver_lin" localSheetId="81" hidden="1">2</definedName>
    <definedName name="solver_lin" localSheetId="79" hidden="1">2</definedName>
    <definedName name="solver_lin" localSheetId="80" hidden="1">2</definedName>
    <definedName name="solver_lin" localSheetId="77" hidden="1">2</definedName>
    <definedName name="solver_lin" localSheetId="105" hidden="1">2</definedName>
    <definedName name="solver_lin" localSheetId="76" hidden="1">2</definedName>
    <definedName name="solver_lin" localSheetId="78" hidden="1">2</definedName>
    <definedName name="solver_lin" localSheetId="82" hidden="1">2</definedName>
    <definedName name="solver_lin" localSheetId="88" hidden="1">2</definedName>
    <definedName name="solver_lin" localSheetId="95" hidden="1">2</definedName>
    <definedName name="solver_lin" localSheetId="96" hidden="1">2</definedName>
    <definedName name="solver_lin" localSheetId="97" hidden="1">2</definedName>
    <definedName name="solver_lin" localSheetId="6" hidden="1">2</definedName>
    <definedName name="solver_lin" localSheetId="20" hidden="1">2</definedName>
    <definedName name="solver_lin" localSheetId="22" hidden="1">2</definedName>
    <definedName name="solver_lin" localSheetId="21" hidden="1">2</definedName>
    <definedName name="solver_lin" localSheetId="23" hidden="1">2</definedName>
    <definedName name="solver_lin" localSheetId="30" hidden="1">2</definedName>
    <definedName name="solver_lin" localSheetId="31" hidden="1">2</definedName>
    <definedName name="solver_lin" localSheetId="32" hidden="1">2</definedName>
    <definedName name="solver_lin" localSheetId="33" hidden="1">2</definedName>
    <definedName name="solver_lin" localSheetId="34" hidden="1">2</definedName>
    <definedName name="solver_lin" localSheetId="35" hidden="1">2</definedName>
    <definedName name="solver_lin" localSheetId="36" hidden="1">2</definedName>
    <definedName name="solver_lin" localSheetId="37" hidden="1">2</definedName>
    <definedName name="solver_lin" localSheetId="38" hidden="1">2</definedName>
    <definedName name="solver_lin" localSheetId="39" hidden="1">2</definedName>
    <definedName name="solver_lin" localSheetId="40" hidden="1">2</definedName>
    <definedName name="solver_lin" localSheetId="43" hidden="1">2</definedName>
    <definedName name="solver_lin" localSheetId="45" hidden="1">2</definedName>
    <definedName name="solver_lin" localSheetId="46" hidden="1">2</definedName>
    <definedName name="solver_lin" localSheetId="47" hidden="1">2</definedName>
    <definedName name="solver_lin" localSheetId="49" hidden="1">2</definedName>
    <definedName name="solver_lin" localSheetId="50" hidden="1">2</definedName>
    <definedName name="solver_lin" localSheetId="51" hidden="1">2</definedName>
    <definedName name="solver_mip" localSheetId="14" hidden="1">2147483647</definedName>
    <definedName name="solver_mni" localSheetId="14" hidden="1">30</definedName>
    <definedName name="solver_mrt" localSheetId="14" hidden="1">0.075</definedName>
    <definedName name="solver_msl" localSheetId="14" hidden="1">2</definedName>
    <definedName name="solver_neg" localSheetId="106" hidden="1">2</definedName>
    <definedName name="solver_neg" localSheetId="54" hidden="1">2</definedName>
    <definedName name="solver_neg" localSheetId="55" hidden="1">2</definedName>
    <definedName name="solver_neg" localSheetId="56" hidden="1">2</definedName>
    <definedName name="solver_neg" localSheetId="57" hidden="1">2</definedName>
    <definedName name="solver_neg" localSheetId="58" hidden="1">2</definedName>
    <definedName name="solver_neg" localSheetId="59" hidden="1">2</definedName>
    <definedName name="solver_neg" localSheetId="60" hidden="1">2</definedName>
    <definedName name="solver_neg" localSheetId="61" hidden="1">2</definedName>
    <definedName name="solver_neg" localSheetId="62" hidden="1">2</definedName>
    <definedName name="solver_neg" localSheetId="63" hidden="1">2</definedName>
    <definedName name="solver_neg" localSheetId="64" hidden="1">2</definedName>
    <definedName name="solver_neg" localSheetId="65" hidden="1">2</definedName>
    <definedName name="solver_neg" localSheetId="66" hidden="1">2</definedName>
    <definedName name="solver_neg" localSheetId="67" hidden="1">2</definedName>
    <definedName name="solver_neg" localSheetId="75" hidden="1">2</definedName>
    <definedName name="solver_neg" localSheetId="74" hidden="1">2</definedName>
    <definedName name="solver_neg" localSheetId="81" hidden="1">2</definedName>
    <definedName name="solver_neg" localSheetId="79" hidden="1">2</definedName>
    <definedName name="solver_neg" localSheetId="80" hidden="1">2</definedName>
    <definedName name="solver_neg" localSheetId="77" hidden="1">2</definedName>
    <definedName name="solver_neg" localSheetId="105" hidden="1">2</definedName>
    <definedName name="solver_neg" localSheetId="76" hidden="1">2</definedName>
    <definedName name="solver_neg" localSheetId="78" hidden="1">2</definedName>
    <definedName name="solver_neg" localSheetId="82" hidden="1">2</definedName>
    <definedName name="solver_neg" localSheetId="88" hidden="1">2</definedName>
    <definedName name="solver_neg" localSheetId="94" hidden="1">1</definedName>
    <definedName name="solver_neg" localSheetId="95" hidden="1">2</definedName>
    <definedName name="solver_neg" localSheetId="96" hidden="1">2</definedName>
    <definedName name="solver_neg" localSheetId="97" hidden="1">2</definedName>
    <definedName name="solver_neg" localSheetId="6" hidden="1">2</definedName>
    <definedName name="solver_neg" localSheetId="14" hidden="1">1</definedName>
    <definedName name="solver_neg" localSheetId="20" hidden="1">2</definedName>
    <definedName name="solver_neg" localSheetId="22" hidden="1">2</definedName>
    <definedName name="solver_neg" localSheetId="21" hidden="1">2</definedName>
    <definedName name="solver_neg" localSheetId="23" hidden="1">2</definedName>
    <definedName name="solver_neg" localSheetId="30" hidden="1">2</definedName>
    <definedName name="solver_neg" localSheetId="31" hidden="1">2</definedName>
    <definedName name="solver_neg" localSheetId="32" hidden="1">2</definedName>
    <definedName name="solver_neg" localSheetId="33" hidden="1">2</definedName>
    <definedName name="solver_neg" localSheetId="34" hidden="1">2</definedName>
    <definedName name="solver_neg" localSheetId="35" hidden="1">2</definedName>
    <definedName name="solver_neg" localSheetId="36" hidden="1">2</definedName>
    <definedName name="solver_neg" localSheetId="37" hidden="1">2</definedName>
    <definedName name="solver_neg" localSheetId="38" hidden="1">2</definedName>
    <definedName name="solver_neg" localSheetId="39" hidden="1">2</definedName>
    <definedName name="solver_neg" localSheetId="40" hidden="1">2</definedName>
    <definedName name="solver_neg" localSheetId="43" hidden="1">2</definedName>
    <definedName name="solver_neg" localSheetId="45" hidden="1">2</definedName>
    <definedName name="solver_neg" localSheetId="46" hidden="1">2</definedName>
    <definedName name="solver_neg" localSheetId="47" hidden="1">2</definedName>
    <definedName name="solver_neg" localSheetId="49" hidden="1">2</definedName>
    <definedName name="solver_neg" localSheetId="50" hidden="1">2</definedName>
    <definedName name="solver_neg" localSheetId="51" hidden="1">2</definedName>
    <definedName name="solver_nod" localSheetId="14" hidden="1">2147483647</definedName>
    <definedName name="solver_num" localSheetId="106" hidden="1">0</definedName>
    <definedName name="solver_num" localSheetId="54" hidden="1">0</definedName>
    <definedName name="solver_num" localSheetId="55" hidden="1">0</definedName>
    <definedName name="solver_num" localSheetId="56" hidden="1">0</definedName>
    <definedName name="solver_num" localSheetId="57" hidden="1">0</definedName>
    <definedName name="solver_num" localSheetId="58" hidden="1">0</definedName>
    <definedName name="solver_num" localSheetId="59" hidden="1">0</definedName>
    <definedName name="solver_num" localSheetId="60" hidden="1">0</definedName>
    <definedName name="solver_num" localSheetId="61" hidden="1">0</definedName>
    <definedName name="solver_num" localSheetId="62" hidden="1">0</definedName>
    <definedName name="solver_num" localSheetId="63" hidden="1">0</definedName>
    <definedName name="solver_num" localSheetId="64" hidden="1">0</definedName>
    <definedName name="solver_num" localSheetId="65" hidden="1">0</definedName>
    <definedName name="solver_num" localSheetId="66" hidden="1">0</definedName>
    <definedName name="solver_num" localSheetId="67" hidden="1">0</definedName>
    <definedName name="solver_num" localSheetId="75" hidden="1">0</definedName>
    <definedName name="solver_num" localSheetId="74" hidden="1">0</definedName>
    <definedName name="solver_num" localSheetId="81" hidden="1">0</definedName>
    <definedName name="solver_num" localSheetId="79" hidden="1">0</definedName>
    <definedName name="solver_num" localSheetId="80" hidden="1">0</definedName>
    <definedName name="solver_num" localSheetId="77" hidden="1">0</definedName>
    <definedName name="solver_num" localSheetId="105" hidden="1">0</definedName>
    <definedName name="solver_num" localSheetId="76" hidden="1">0</definedName>
    <definedName name="solver_num" localSheetId="78" hidden="1">0</definedName>
    <definedName name="solver_num" localSheetId="82" hidden="1">0</definedName>
    <definedName name="solver_num" localSheetId="88" hidden="1">0</definedName>
    <definedName name="solver_num" localSheetId="94" hidden="1">0</definedName>
    <definedName name="solver_num" localSheetId="95" hidden="1">0</definedName>
    <definedName name="solver_num" localSheetId="96" hidden="1">0</definedName>
    <definedName name="solver_num" localSheetId="97" hidden="1">0</definedName>
    <definedName name="solver_num" localSheetId="6" hidden="1">0</definedName>
    <definedName name="solver_num" localSheetId="14" hidden="1">0</definedName>
    <definedName name="solver_num" localSheetId="20" hidden="1">0</definedName>
    <definedName name="solver_num" localSheetId="22" hidden="1">0</definedName>
    <definedName name="solver_num" localSheetId="21" hidden="1">0</definedName>
    <definedName name="solver_num" localSheetId="23" hidden="1">0</definedName>
    <definedName name="solver_num" localSheetId="30" hidden="1">0</definedName>
    <definedName name="solver_num" localSheetId="31" hidden="1">0</definedName>
    <definedName name="solver_num" localSheetId="32" hidden="1">0</definedName>
    <definedName name="solver_num" localSheetId="33" hidden="1">0</definedName>
    <definedName name="solver_num" localSheetId="34" hidden="1">0</definedName>
    <definedName name="solver_num" localSheetId="35" hidden="1">0</definedName>
    <definedName name="solver_num" localSheetId="36" hidden="1">0</definedName>
    <definedName name="solver_num" localSheetId="37" hidden="1">0</definedName>
    <definedName name="solver_num" localSheetId="38" hidden="1">0</definedName>
    <definedName name="solver_num" localSheetId="39" hidden="1">0</definedName>
    <definedName name="solver_num" localSheetId="40" hidden="1">0</definedName>
    <definedName name="solver_num" localSheetId="43" hidden="1">0</definedName>
    <definedName name="solver_num" localSheetId="45" hidden="1">0</definedName>
    <definedName name="solver_num" localSheetId="46" hidden="1">0</definedName>
    <definedName name="solver_num" localSheetId="47" hidden="1">0</definedName>
    <definedName name="solver_num" localSheetId="49" hidden="1">0</definedName>
    <definedName name="solver_num" localSheetId="50" hidden="1">0</definedName>
    <definedName name="solver_num" localSheetId="51" hidden="1">0</definedName>
    <definedName name="solver_nwt" localSheetId="106" hidden="1">1</definedName>
    <definedName name="solver_nwt" localSheetId="54" hidden="1">1</definedName>
    <definedName name="solver_nwt" localSheetId="55" hidden="1">1</definedName>
    <definedName name="solver_nwt" localSheetId="56" hidden="1">1</definedName>
    <definedName name="solver_nwt" localSheetId="57" hidden="1">1</definedName>
    <definedName name="solver_nwt" localSheetId="58" hidden="1">1</definedName>
    <definedName name="solver_nwt" localSheetId="59" hidden="1">1</definedName>
    <definedName name="solver_nwt" localSheetId="60" hidden="1">1</definedName>
    <definedName name="solver_nwt" localSheetId="61" hidden="1">1</definedName>
    <definedName name="solver_nwt" localSheetId="62" hidden="1">1</definedName>
    <definedName name="solver_nwt" localSheetId="63" hidden="1">1</definedName>
    <definedName name="solver_nwt" localSheetId="64" hidden="1">1</definedName>
    <definedName name="solver_nwt" localSheetId="65" hidden="1">1</definedName>
    <definedName name="solver_nwt" localSheetId="66" hidden="1">1</definedName>
    <definedName name="solver_nwt" localSheetId="67" hidden="1">1</definedName>
    <definedName name="solver_nwt" localSheetId="75" hidden="1">1</definedName>
    <definedName name="solver_nwt" localSheetId="74" hidden="1">1</definedName>
    <definedName name="solver_nwt" localSheetId="81" hidden="1">1</definedName>
    <definedName name="solver_nwt" localSheetId="79" hidden="1">1</definedName>
    <definedName name="solver_nwt" localSheetId="80" hidden="1">1</definedName>
    <definedName name="solver_nwt" localSheetId="77" hidden="1">1</definedName>
    <definedName name="solver_nwt" localSheetId="105" hidden="1">1</definedName>
    <definedName name="solver_nwt" localSheetId="76" hidden="1">1</definedName>
    <definedName name="solver_nwt" localSheetId="78" hidden="1">1</definedName>
    <definedName name="solver_nwt" localSheetId="82" hidden="1">1</definedName>
    <definedName name="solver_nwt" localSheetId="88" hidden="1">1</definedName>
    <definedName name="solver_nwt" localSheetId="95" hidden="1">1</definedName>
    <definedName name="solver_nwt" localSheetId="96" hidden="1">1</definedName>
    <definedName name="solver_nwt" localSheetId="97" hidden="1">1</definedName>
    <definedName name="solver_nwt" localSheetId="6" hidden="1">1</definedName>
    <definedName name="solver_nwt" localSheetId="14" hidden="1">1</definedName>
    <definedName name="solver_nwt" localSheetId="20" hidden="1">1</definedName>
    <definedName name="solver_nwt" localSheetId="22" hidden="1">1</definedName>
    <definedName name="solver_nwt" localSheetId="21" hidden="1">1</definedName>
    <definedName name="solver_nwt" localSheetId="23" hidden="1">1</definedName>
    <definedName name="solver_nwt" localSheetId="30" hidden="1">1</definedName>
    <definedName name="solver_nwt" localSheetId="31" hidden="1">1</definedName>
    <definedName name="solver_nwt" localSheetId="32" hidden="1">1</definedName>
    <definedName name="solver_nwt" localSheetId="33" hidden="1">1</definedName>
    <definedName name="solver_nwt" localSheetId="34" hidden="1">1</definedName>
    <definedName name="solver_nwt" localSheetId="35" hidden="1">1</definedName>
    <definedName name="solver_nwt" localSheetId="36" hidden="1">1</definedName>
    <definedName name="solver_nwt" localSheetId="37" hidden="1">1</definedName>
    <definedName name="solver_nwt" localSheetId="38" hidden="1">1</definedName>
    <definedName name="solver_nwt" localSheetId="39" hidden="1">1</definedName>
    <definedName name="solver_nwt" localSheetId="40" hidden="1">1</definedName>
    <definedName name="solver_nwt" localSheetId="43" hidden="1">1</definedName>
    <definedName name="solver_nwt" localSheetId="45" hidden="1">1</definedName>
    <definedName name="solver_nwt" localSheetId="46" hidden="1">1</definedName>
    <definedName name="solver_nwt" localSheetId="47" hidden="1">1</definedName>
    <definedName name="solver_nwt" localSheetId="49" hidden="1">1</definedName>
    <definedName name="solver_nwt" localSheetId="50" hidden="1">1</definedName>
    <definedName name="solver_nwt" localSheetId="51" hidden="1">1</definedName>
    <definedName name="solver_opt" localSheetId="106" hidden="1">'Question 2ac'!#REF!</definedName>
    <definedName name="solver_opt" localSheetId="54" hidden="1">'Slide 101 - 1'!#REF!</definedName>
    <definedName name="solver_opt" localSheetId="55" hidden="1">'Slide 101 - 2'!#REF!</definedName>
    <definedName name="solver_opt" localSheetId="56" hidden="1">'Slide 101 - 3'!#REF!</definedName>
    <definedName name="solver_opt" localSheetId="57" hidden="1">'Slide 103a'!#REF!</definedName>
    <definedName name="solver_opt" localSheetId="58" hidden="1">'Slide 103b'!#REF!</definedName>
    <definedName name="solver_opt" localSheetId="59" hidden="1">'Slide 104'!#REF!</definedName>
    <definedName name="solver_opt" localSheetId="60" hidden="1">'Slide 104_new'!#REF!</definedName>
    <definedName name="solver_opt" localSheetId="61" hidden="1">'Slide 111'!#REF!</definedName>
    <definedName name="solver_opt" localSheetId="62" hidden="1">'Slide 112'!#REF!</definedName>
    <definedName name="solver_opt" localSheetId="63" hidden="1">'Slide 112_new'!#REF!</definedName>
    <definedName name="solver_opt" localSheetId="64" hidden="1">'Slide 113'!#REF!</definedName>
    <definedName name="solver_opt" localSheetId="65" hidden="1">'Slide 113_new'!#REF!</definedName>
    <definedName name="solver_opt" localSheetId="66" hidden="1">'Slide 114'!#REF!</definedName>
    <definedName name="solver_opt" localSheetId="67" hidden="1">'Slide 114_new'!#REF!</definedName>
    <definedName name="solver_opt" localSheetId="75" hidden="1">'Slide 126 (Bear Spread)_new'!#REF!</definedName>
    <definedName name="solver_opt" localSheetId="74" hidden="1">'Slide 126 (Bear Spread)_new (2)'!#REF!</definedName>
    <definedName name="solver_opt" localSheetId="81" hidden="1">'Slide 126 (Butterly Spread)_new'!#REF!</definedName>
    <definedName name="solver_opt" localSheetId="79" hidden="1">'Slide 126 (Calendar Spread)_new'!#REF!</definedName>
    <definedName name="solver_opt" localSheetId="80" hidden="1">'Slide 126 (Diagonal Spread)_new'!#REF!</definedName>
    <definedName name="solver_opt" localSheetId="77" hidden="1">'Slide 126 (Straddle)_new'!#REF!</definedName>
    <definedName name="solver_opt" localSheetId="105" hidden="1">'Slide 126 (Straddle)_new (2 (3)'!#REF!</definedName>
    <definedName name="solver_opt" localSheetId="76" hidden="1">'Slide 126 (Straddle)_new (2)'!#REF!</definedName>
    <definedName name="solver_opt" localSheetId="78" hidden="1">'Slide 126 (Strangle)_new'!#REF!</definedName>
    <definedName name="solver_opt" localSheetId="82" hidden="1">'Slide 142'!#REF!</definedName>
    <definedName name="solver_opt" localSheetId="88" hidden="1">'Slide 145g_new'!#REF!</definedName>
    <definedName name="solver_opt" localSheetId="94" hidden="1">'Slide 156_new'!$E$5</definedName>
    <definedName name="solver_opt" localSheetId="95" hidden="1">'Slide 159 _1_new'!#REF!</definedName>
    <definedName name="solver_opt" localSheetId="97" hidden="1">'Slide 159 _3_new'!#REF!</definedName>
    <definedName name="solver_opt" localSheetId="6" hidden="1">'Slide 27'!#REF!</definedName>
    <definedName name="solver_opt" localSheetId="14" hidden="1">'Slide 40_General'!$C$10</definedName>
    <definedName name="solver_opt" localSheetId="20" hidden="1">'Slide 48_new'!$D$61</definedName>
    <definedName name="solver_opt" localSheetId="22" hidden="1">'Slide 49 A over 360_new'!$D$61</definedName>
    <definedName name="solver_opt" localSheetId="21" hidden="1">'Slide 49 A over A_new'!$D$61</definedName>
    <definedName name="solver_opt" localSheetId="23" hidden="1">'Slide 50_new'!$D$61</definedName>
    <definedName name="solver_opt" localSheetId="30" hidden="1">'Slide 64a'!#REF!</definedName>
    <definedName name="solver_opt" localSheetId="31" hidden="1">'Slide 64b'!#REF!</definedName>
    <definedName name="solver_opt" localSheetId="32" hidden="1">'Slide 69'!#REF!</definedName>
    <definedName name="solver_opt" localSheetId="33" hidden="1">'Slide 70_new'!#REF!</definedName>
    <definedName name="solver_opt" localSheetId="34" hidden="1">'Slide 73 (3 instruments)'!#REF!</definedName>
    <definedName name="solver_opt" localSheetId="35" hidden="1">'Slide 73 (4 instruments)'!#REF!</definedName>
    <definedName name="solver_opt" localSheetId="36" hidden="1">'Slide 73 (all instruments)'!$F$45</definedName>
    <definedName name="solver_opt" localSheetId="37" hidden="1">'Slide 76_new'!#REF!</definedName>
    <definedName name="solver_opt" localSheetId="38" hidden="1">'Slide 77_1'!#REF!</definedName>
    <definedName name="solver_opt" localSheetId="39" hidden="1">'Slide 77_2'!#REF!</definedName>
    <definedName name="solver_opt" localSheetId="40" hidden="1">'Slide 77_3'!#REF!</definedName>
    <definedName name="solver_opt" localSheetId="43" hidden="1">'Slide 81'!#REF!</definedName>
    <definedName name="solver_opt" localSheetId="45" hidden="1">'Slide 84'!#REF!</definedName>
    <definedName name="solver_opt" localSheetId="46" hidden="1">'Slide 86a'!#REF!</definedName>
    <definedName name="solver_opt" localSheetId="47" hidden="1">'Slide 86b'!#REF!</definedName>
    <definedName name="solver_opt" localSheetId="49" hidden="1">'Slide 91'!#REF!</definedName>
    <definedName name="solver_opt" localSheetId="50" hidden="1">'Slide 94_data'!#REF!</definedName>
    <definedName name="solver_opt" localSheetId="51" hidden="1">'Slide 94_solution'!#REF!</definedName>
    <definedName name="solver_pre" localSheetId="106" hidden="1">0.000001</definedName>
    <definedName name="solver_pre" localSheetId="54" hidden="1">0.000001</definedName>
    <definedName name="solver_pre" localSheetId="55" hidden="1">0.000001</definedName>
    <definedName name="solver_pre" localSheetId="56" hidden="1">0.000001</definedName>
    <definedName name="solver_pre" localSheetId="57" hidden="1">0.000001</definedName>
    <definedName name="solver_pre" localSheetId="58" hidden="1">0.000001</definedName>
    <definedName name="solver_pre" localSheetId="59" hidden="1">0.000001</definedName>
    <definedName name="solver_pre" localSheetId="60" hidden="1">0.000001</definedName>
    <definedName name="solver_pre" localSheetId="61" hidden="1">0.000001</definedName>
    <definedName name="solver_pre" localSheetId="62" hidden="1">0.000001</definedName>
    <definedName name="solver_pre" localSheetId="63" hidden="1">0.000001</definedName>
    <definedName name="solver_pre" localSheetId="64" hidden="1">0.000001</definedName>
    <definedName name="solver_pre" localSheetId="65" hidden="1">0.000001</definedName>
    <definedName name="solver_pre" localSheetId="66" hidden="1">0.000001</definedName>
    <definedName name="solver_pre" localSheetId="67" hidden="1">0.000001</definedName>
    <definedName name="solver_pre" localSheetId="75" hidden="1">0.000001</definedName>
    <definedName name="solver_pre" localSheetId="74" hidden="1">0.000001</definedName>
    <definedName name="solver_pre" localSheetId="81" hidden="1">0.000001</definedName>
    <definedName name="solver_pre" localSheetId="79" hidden="1">0.000001</definedName>
    <definedName name="solver_pre" localSheetId="80" hidden="1">0.000001</definedName>
    <definedName name="solver_pre" localSheetId="77" hidden="1">0.000001</definedName>
    <definedName name="solver_pre" localSheetId="105" hidden="1">0.000001</definedName>
    <definedName name="solver_pre" localSheetId="76" hidden="1">0.000001</definedName>
    <definedName name="solver_pre" localSheetId="78" hidden="1">0.000001</definedName>
    <definedName name="solver_pre" localSheetId="82" hidden="1">0.000001</definedName>
    <definedName name="solver_pre" localSheetId="88" hidden="1">0.000001</definedName>
    <definedName name="solver_pre" localSheetId="95" hidden="1">0.000001</definedName>
    <definedName name="solver_pre" localSheetId="96" hidden="1">0.000001</definedName>
    <definedName name="solver_pre" localSheetId="97" hidden="1">0.000001</definedName>
    <definedName name="solver_pre" localSheetId="6" hidden="1">0.000001</definedName>
    <definedName name="solver_pre" localSheetId="14" hidden="1">0.000001</definedName>
    <definedName name="solver_pre" localSheetId="20" hidden="1">0.000001</definedName>
    <definedName name="solver_pre" localSheetId="22" hidden="1">0.000001</definedName>
    <definedName name="solver_pre" localSheetId="21" hidden="1">0.000001</definedName>
    <definedName name="solver_pre" localSheetId="23" hidden="1">0.000001</definedName>
    <definedName name="solver_pre" localSheetId="30" hidden="1">0.000001</definedName>
    <definedName name="solver_pre" localSheetId="31" hidden="1">0.000001</definedName>
    <definedName name="solver_pre" localSheetId="32" hidden="1">0.000001</definedName>
    <definedName name="solver_pre" localSheetId="33" hidden="1">0.000001</definedName>
    <definedName name="solver_pre" localSheetId="34" hidden="1">0.000001</definedName>
    <definedName name="solver_pre" localSheetId="35" hidden="1">0.000001</definedName>
    <definedName name="solver_pre" localSheetId="36" hidden="1">0.000001</definedName>
    <definedName name="solver_pre" localSheetId="37" hidden="1">0.000001</definedName>
    <definedName name="solver_pre" localSheetId="38" hidden="1">0.000001</definedName>
    <definedName name="solver_pre" localSheetId="39" hidden="1">0.000001</definedName>
    <definedName name="solver_pre" localSheetId="40" hidden="1">0.000001</definedName>
    <definedName name="solver_pre" localSheetId="43" hidden="1">0.000001</definedName>
    <definedName name="solver_pre" localSheetId="45" hidden="1">0.000001</definedName>
    <definedName name="solver_pre" localSheetId="46" hidden="1">0.000001</definedName>
    <definedName name="solver_pre" localSheetId="47" hidden="1">0.000001</definedName>
    <definedName name="solver_pre" localSheetId="49" hidden="1">0.000001</definedName>
    <definedName name="solver_pre" localSheetId="50" hidden="1">0.000001</definedName>
    <definedName name="solver_pre" localSheetId="51" hidden="1">0.000001</definedName>
    <definedName name="solver_rbv" localSheetId="14" hidden="1">2</definedName>
    <definedName name="solver_rlx" localSheetId="14" hidden="1">2</definedName>
    <definedName name="solver_rsd" localSheetId="14" hidden="1">0</definedName>
    <definedName name="solver_scl" localSheetId="106" hidden="1">2</definedName>
    <definedName name="solver_scl" localSheetId="54" hidden="1">2</definedName>
    <definedName name="solver_scl" localSheetId="55" hidden="1">2</definedName>
    <definedName name="solver_scl" localSheetId="56" hidden="1">2</definedName>
    <definedName name="solver_scl" localSheetId="57" hidden="1">2</definedName>
    <definedName name="solver_scl" localSheetId="58" hidden="1">2</definedName>
    <definedName name="solver_scl" localSheetId="59" hidden="1">2</definedName>
    <definedName name="solver_scl" localSheetId="60" hidden="1">2</definedName>
    <definedName name="solver_scl" localSheetId="61" hidden="1">2</definedName>
    <definedName name="solver_scl" localSheetId="62" hidden="1">2</definedName>
    <definedName name="solver_scl" localSheetId="63" hidden="1">2</definedName>
    <definedName name="solver_scl" localSheetId="64" hidden="1">2</definedName>
    <definedName name="solver_scl" localSheetId="65" hidden="1">2</definedName>
    <definedName name="solver_scl" localSheetId="66" hidden="1">2</definedName>
    <definedName name="solver_scl" localSheetId="67" hidden="1">2</definedName>
    <definedName name="solver_scl" localSheetId="75" hidden="1">2</definedName>
    <definedName name="solver_scl" localSheetId="74" hidden="1">2</definedName>
    <definedName name="solver_scl" localSheetId="81" hidden="1">2</definedName>
    <definedName name="solver_scl" localSheetId="79" hidden="1">2</definedName>
    <definedName name="solver_scl" localSheetId="80" hidden="1">2</definedName>
    <definedName name="solver_scl" localSheetId="77" hidden="1">2</definedName>
    <definedName name="solver_scl" localSheetId="105" hidden="1">2</definedName>
    <definedName name="solver_scl" localSheetId="76" hidden="1">2</definedName>
    <definedName name="solver_scl" localSheetId="78" hidden="1">2</definedName>
    <definedName name="solver_scl" localSheetId="82" hidden="1">2</definedName>
    <definedName name="solver_scl" localSheetId="88" hidden="1">2</definedName>
    <definedName name="solver_scl" localSheetId="95" hidden="1">2</definedName>
    <definedName name="solver_scl" localSheetId="96" hidden="1">2</definedName>
    <definedName name="solver_scl" localSheetId="97" hidden="1">2</definedName>
    <definedName name="solver_scl" localSheetId="6" hidden="1">2</definedName>
    <definedName name="solver_scl" localSheetId="14" hidden="1">2</definedName>
    <definedName name="solver_scl" localSheetId="20" hidden="1">2</definedName>
    <definedName name="solver_scl" localSheetId="22" hidden="1">2</definedName>
    <definedName name="solver_scl" localSheetId="21" hidden="1">2</definedName>
    <definedName name="solver_scl" localSheetId="23" hidden="1">2</definedName>
    <definedName name="solver_scl" localSheetId="30" hidden="1">2</definedName>
    <definedName name="solver_scl" localSheetId="31" hidden="1">2</definedName>
    <definedName name="solver_scl" localSheetId="32" hidden="1">2</definedName>
    <definedName name="solver_scl" localSheetId="33" hidden="1">2</definedName>
    <definedName name="solver_scl" localSheetId="34" hidden="1">2</definedName>
    <definedName name="solver_scl" localSheetId="35" hidden="1">2</definedName>
    <definedName name="solver_scl" localSheetId="36" hidden="1">2</definedName>
    <definedName name="solver_scl" localSheetId="37" hidden="1">2</definedName>
    <definedName name="solver_scl" localSheetId="38" hidden="1">2</definedName>
    <definedName name="solver_scl" localSheetId="39" hidden="1">2</definedName>
    <definedName name="solver_scl" localSheetId="40" hidden="1">2</definedName>
    <definedName name="solver_scl" localSheetId="43" hidden="1">2</definedName>
    <definedName name="solver_scl" localSheetId="45" hidden="1">2</definedName>
    <definedName name="solver_scl" localSheetId="46" hidden="1">2</definedName>
    <definedName name="solver_scl" localSheetId="47" hidden="1">2</definedName>
    <definedName name="solver_scl" localSheetId="49" hidden="1">2</definedName>
    <definedName name="solver_scl" localSheetId="50" hidden="1">2</definedName>
    <definedName name="solver_scl" localSheetId="51" hidden="1">2</definedName>
    <definedName name="solver_sho" localSheetId="106" hidden="1">2</definedName>
    <definedName name="solver_sho" localSheetId="54" hidden="1">2</definedName>
    <definedName name="solver_sho" localSheetId="55" hidden="1">2</definedName>
    <definedName name="solver_sho" localSheetId="56" hidden="1">2</definedName>
    <definedName name="solver_sho" localSheetId="57" hidden="1">2</definedName>
    <definedName name="solver_sho" localSheetId="58" hidden="1">2</definedName>
    <definedName name="solver_sho" localSheetId="59" hidden="1">2</definedName>
    <definedName name="solver_sho" localSheetId="60" hidden="1">2</definedName>
    <definedName name="solver_sho" localSheetId="61" hidden="1">2</definedName>
    <definedName name="solver_sho" localSheetId="62" hidden="1">2</definedName>
    <definedName name="solver_sho" localSheetId="63" hidden="1">2</definedName>
    <definedName name="solver_sho" localSheetId="64" hidden="1">2</definedName>
    <definedName name="solver_sho" localSheetId="65" hidden="1">2</definedName>
    <definedName name="solver_sho" localSheetId="66" hidden="1">2</definedName>
    <definedName name="solver_sho" localSheetId="67" hidden="1">2</definedName>
    <definedName name="solver_sho" localSheetId="75" hidden="1">2</definedName>
    <definedName name="solver_sho" localSheetId="74" hidden="1">2</definedName>
    <definedName name="solver_sho" localSheetId="81" hidden="1">2</definedName>
    <definedName name="solver_sho" localSheetId="79" hidden="1">2</definedName>
    <definedName name="solver_sho" localSheetId="80" hidden="1">2</definedName>
    <definedName name="solver_sho" localSheetId="77" hidden="1">2</definedName>
    <definedName name="solver_sho" localSheetId="105" hidden="1">2</definedName>
    <definedName name="solver_sho" localSheetId="76" hidden="1">2</definedName>
    <definedName name="solver_sho" localSheetId="78" hidden="1">2</definedName>
    <definedName name="solver_sho" localSheetId="82" hidden="1">2</definedName>
    <definedName name="solver_sho" localSheetId="88" hidden="1">2</definedName>
    <definedName name="solver_sho" localSheetId="95" hidden="1">2</definedName>
    <definedName name="solver_sho" localSheetId="96" hidden="1">2</definedName>
    <definedName name="solver_sho" localSheetId="97" hidden="1">2</definedName>
    <definedName name="solver_sho" localSheetId="6" hidden="1">2</definedName>
    <definedName name="solver_sho" localSheetId="14" hidden="1">2</definedName>
    <definedName name="solver_sho" localSheetId="20" hidden="1">2</definedName>
    <definedName name="solver_sho" localSheetId="22" hidden="1">2</definedName>
    <definedName name="solver_sho" localSheetId="21" hidden="1">2</definedName>
    <definedName name="solver_sho" localSheetId="23" hidden="1">2</definedName>
    <definedName name="solver_sho" localSheetId="30" hidden="1">2</definedName>
    <definedName name="solver_sho" localSheetId="31" hidden="1">2</definedName>
    <definedName name="solver_sho" localSheetId="32" hidden="1">2</definedName>
    <definedName name="solver_sho" localSheetId="33" hidden="1">2</definedName>
    <definedName name="solver_sho" localSheetId="34" hidden="1">2</definedName>
    <definedName name="solver_sho" localSheetId="35" hidden="1">2</definedName>
    <definedName name="solver_sho" localSheetId="36" hidden="1">2</definedName>
    <definedName name="solver_sho" localSheetId="37" hidden="1">2</definedName>
    <definedName name="solver_sho" localSheetId="38" hidden="1">2</definedName>
    <definedName name="solver_sho" localSheetId="39" hidden="1">2</definedName>
    <definedName name="solver_sho" localSheetId="40" hidden="1">2</definedName>
    <definedName name="solver_sho" localSheetId="43" hidden="1">2</definedName>
    <definedName name="solver_sho" localSheetId="45" hidden="1">2</definedName>
    <definedName name="solver_sho" localSheetId="46" hidden="1">2</definedName>
    <definedName name="solver_sho" localSheetId="47" hidden="1">2</definedName>
    <definedName name="solver_sho" localSheetId="49" hidden="1">2</definedName>
    <definedName name="solver_sho" localSheetId="50" hidden="1">2</definedName>
    <definedName name="solver_sho" localSheetId="51" hidden="1">2</definedName>
    <definedName name="solver_ssz" localSheetId="14" hidden="1">100</definedName>
    <definedName name="solver_tim" localSheetId="106" hidden="1">100</definedName>
    <definedName name="solver_tim" localSheetId="54" hidden="1">100</definedName>
    <definedName name="solver_tim" localSheetId="55" hidden="1">100</definedName>
    <definedName name="solver_tim" localSheetId="56" hidden="1">100</definedName>
    <definedName name="solver_tim" localSheetId="57" hidden="1">100</definedName>
    <definedName name="solver_tim" localSheetId="58" hidden="1">100</definedName>
    <definedName name="solver_tim" localSheetId="59" hidden="1">100</definedName>
    <definedName name="solver_tim" localSheetId="60" hidden="1">100</definedName>
    <definedName name="solver_tim" localSheetId="61" hidden="1">100</definedName>
    <definedName name="solver_tim" localSheetId="62" hidden="1">100</definedName>
    <definedName name="solver_tim" localSheetId="63" hidden="1">100</definedName>
    <definedName name="solver_tim" localSheetId="64" hidden="1">100</definedName>
    <definedName name="solver_tim" localSheetId="65" hidden="1">100</definedName>
    <definedName name="solver_tim" localSheetId="66" hidden="1">100</definedName>
    <definedName name="solver_tim" localSheetId="67" hidden="1">100</definedName>
    <definedName name="solver_tim" localSheetId="75" hidden="1">100</definedName>
    <definedName name="solver_tim" localSheetId="74" hidden="1">100</definedName>
    <definedName name="solver_tim" localSheetId="81" hidden="1">100</definedName>
    <definedName name="solver_tim" localSheetId="79" hidden="1">100</definedName>
    <definedName name="solver_tim" localSheetId="80" hidden="1">100</definedName>
    <definedName name="solver_tim" localSheetId="77" hidden="1">100</definedName>
    <definedName name="solver_tim" localSheetId="105" hidden="1">100</definedName>
    <definedName name="solver_tim" localSheetId="76" hidden="1">100</definedName>
    <definedName name="solver_tim" localSheetId="78" hidden="1">100</definedName>
    <definedName name="solver_tim" localSheetId="82" hidden="1">100</definedName>
    <definedName name="solver_tim" localSheetId="88" hidden="1">100</definedName>
    <definedName name="solver_tim" localSheetId="95" hidden="1">100</definedName>
    <definedName name="solver_tim" localSheetId="96" hidden="1">100</definedName>
    <definedName name="solver_tim" localSheetId="97" hidden="1">100</definedName>
    <definedName name="solver_tim" localSheetId="6" hidden="1">100</definedName>
    <definedName name="solver_tim" localSheetId="14" hidden="1">2147483647</definedName>
    <definedName name="solver_tim" localSheetId="20" hidden="1">100</definedName>
    <definedName name="solver_tim" localSheetId="22" hidden="1">100</definedName>
    <definedName name="solver_tim" localSheetId="21" hidden="1">100</definedName>
    <definedName name="solver_tim" localSheetId="23" hidden="1">100</definedName>
    <definedName name="solver_tim" localSheetId="30" hidden="1">100</definedName>
    <definedName name="solver_tim" localSheetId="31" hidden="1">100</definedName>
    <definedName name="solver_tim" localSheetId="32" hidden="1">100</definedName>
    <definedName name="solver_tim" localSheetId="33" hidden="1">100</definedName>
    <definedName name="solver_tim" localSheetId="34" hidden="1">100</definedName>
    <definedName name="solver_tim" localSheetId="35" hidden="1">100</definedName>
    <definedName name="solver_tim" localSheetId="36" hidden="1">100</definedName>
    <definedName name="solver_tim" localSheetId="37" hidden="1">100</definedName>
    <definedName name="solver_tim" localSheetId="38" hidden="1">100</definedName>
    <definedName name="solver_tim" localSheetId="39" hidden="1">100</definedName>
    <definedName name="solver_tim" localSheetId="40" hidden="1">100</definedName>
    <definedName name="solver_tim" localSheetId="43" hidden="1">100</definedName>
    <definedName name="solver_tim" localSheetId="45" hidden="1">100</definedName>
    <definedName name="solver_tim" localSheetId="46" hidden="1">100</definedName>
    <definedName name="solver_tim" localSheetId="47" hidden="1">100</definedName>
    <definedName name="solver_tim" localSheetId="49" hidden="1">100</definedName>
    <definedName name="solver_tim" localSheetId="50" hidden="1">100</definedName>
    <definedName name="solver_tim" localSheetId="51" hidden="1">100</definedName>
    <definedName name="solver_tol" localSheetId="106" hidden="1">0.05</definedName>
    <definedName name="solver_tol" localSheetId="54" hidden="1">0.05</definedName>
    <definedName name="solver_tol" localSheetId="55" hidden="1">0.05</definedName>
    <definedName name="solver_tol" localSheetId="56" hidden="1">0.05</definedName>
    <definedName name="solver_tol" localSheetId="57" hidden="1">0.05</definedName>
    <definedName name="solver_tol" localSheetId="58" hidden="1">0.05</definedName>
    <definedName name="solver_tol" localSheetId="59" hidden="1">0.05</definedName>
    <definedName name="solver_tol" localSheetId="60" hidden="1">0.05</definedName>
    <definedName name="solver_tol" localSheetId="61" hidden="1">0.05</definedName>
    <definedName name="solver_tol" localSheetId="62" hidden="1">0.05</definedName>
    <definedName name="solver_tol" localSheetId="63" hidden="1">0.05</definedName>
    <definedName name="solver_tol" localSheetId="64" hidden="1">0.05</definedName>
    <definedName name="solver_tol" localSheetId="65" hidden="1">0.05</definedName>
    <definedName name="solver_tol" localSheetId="66" hidden="1">0.05</definedName>
    <definedName name="solver_tol" localSheetId="67" hidden="1">0.05</definedName>
    <definedName name="solver_tol" localSheetId="75" hidden="1">0.05</definedName>
    <definedName name="solver_tol" localSheetId="74" hidden="1">0.05</definedName>
    <definedName name="solver_tol" localSheetId="81" hidden="1">0.05</definedName>
    <definedName name="solver_tol" localSheetId="79" hidden="1">0.05</definedName>
    <definedName name="solver_tol" localSheetId="80" hidden="1">0.05</definedName>
    <definedName name="solver_tol" localSheetId="77" hidden="1">0.05</definedName>
    <definedName name="solver_tol" localSheetId="105" hidden="1">0.05</definedName>
    <definedName name="solver_tol" localSheetId="76" hidden="1">0.05</definedName>
    <definedName name="solver_tol" localSheetId="78" hidden="1">0.05</definedName>
    <definedName name="solver_tol" localSheetId="82" hidden="1">0.05</definedName>
    <definedName name="solver_tol" localSheetId="88" hidden="1">0.05</definedName>
    <definedName name="solver_tol" localSheetId="95" hidden="1">0.05</definedName>
    <definedName name="solver_tol" localSheetId="96" hidden="1">0.05</definedName>
    <definedName name="solver_tol" localSheetId="97" hidden="1">0.05</definedName>
    <definedName name="solver_tol" localSheetId="6" hidden="1">0.05</definedName>
    <definedName name="solver_tol" localSheetId="14" hidden="1">0.01</definedName>
    <definedName name="solver_tol" localSheetId="20" hidden="1">0.05</definedName>
    <definedName name="solver_tol" localSheetId="22" hidden="1">0.05</definedName>
    <definedName name="solver_tol" localSheetId="21" hidden="1">0.05</definedName>
    <definedName name="solver_tol" localSheetId="23" hidden="1">0.05</definedName>
    <definedName name="solver_tol" localSheetId="30" hidden="1">0.05</definedName>
    <definedName name="solver_tol" localSheetId="31" hidden="1">0.05</definedName>
    <definedName name="solver_tol" localSheetId="32" hidden="1">0.05</definedName>
    <definedName name="solver_tol" localSheetId="33" hidden="1">0.05</definedName>
    <definedName name="solver_tol" localSheetId="34" hidden="1">0.05</definedName>
    <definedName name="solver_tol" localSheetId="35" hidden="1">0.05</definedName>
    <definedName name="solver_tol" localSheetId="36" hidden="1">0.05</definedName>
    <definedName name="solver_tol" localSheetId="37" hidden="1">0.05</definedName>
    <definedName name="solver_tol" localSheetId="38" hidden="1">0.05</definedName>
    <definedName name="solver_tol" localSheetId="39" hidden="1">0.05</definedName>
    <definedName name="solver_tol" localSheetId="40" hidden="1">0.05</definedName>
    <definedName name="solver_tol" localSheetId="43" hidden="1">0.05</definedName>
    <definedName name="solver_tol" localSheetId="45" hidden="1">0.05</definedName>
    <definedName name="solver_tol" localSheetId="46" hidden="1">0.05</definedName>
    <definedName name="solver_tol" localSheetId="47" hidden="1">0.05</definedName>
    <definedName name="solver_tol" localSheetId="49" hidden="1">0.05</definedName>
    <definedName name="solver_tol" localSheetId="50" hidden="1">0.05</definedName>
    <definedName name="solver_tol" localSheetId="51" hidden="1">0.05</definedName>
    <definedName name="solver_typ" localSheetId="106" hidden="1">3</definedName>
    <definedName name="solver_typ" localSheetId="54" hidden="1">3</definedName>
    <definedName name="solver_typ" localSheetId="55" hidden="1">3</definedName>
    <definedName name="solver_typ" localSheetId="56" hidden="1">3</definedName>
    <definedName name="solver_typ" localSheetId="57" hidden="1">3</definedName>
    <definedName name="solver_typ" localSheetId="58" hidden="1">3</definedName>
    <definedName name="solver_typ" localSheetId="59" hidden="1">3</definedName>
    <definedName name="solver_typ" localSheetId="60" hidden="1">3</definedName>
    <definedName name="solver_typ" localSheetId="61" hidden="1">3</definedName>
    <definedName name="solver_typ" localSheetId="62" hidden="1">3</definedName>
    <definedName name="solver_typ" localSheetId="63" hidden="1">3</definedName>
    <definedName name="solver_typ" localSheetId="64" hidden="1">3</definedName>
    <definedName name="solver_typ" localSheetId="65" hidden="1">3</definedName>
    <definedName name="solver_typ" localSheetId="66" hidden="1">3</definedName>
    <definedName name="solver_typ" localSheetId="67" hidden="1">3</definedName>
    <definedName name="solver_typ" localSheetId="75" hidden="1">3</definedName>
    <definedName name="solver_typ" localSheetId="74" hidden="1">3</definedName>
    <definedName name="solver_typ" localSheetId="81" hidden="1">3</definedName>
    <definedName name="solver_typ" localSheetId="79" hidden="1">3</definedName>
    <definedName name="solver_typ" localSheetId="80" hidden="1">3</definedName>
    <definedName name="solver_typ" localSheetId="77" hidden="1">3</definedName>
    <definedName name="solver_typ" localSheetId="105" hidden="1">3</definedName>
    <definedName name="solver_typ" localSheetId="76" hidden="1">3</definedName>
    <definedName name="solver_typ" localSheetId="78" hidden="1">3</definedName>
    <definedName name="solver_typ" localSheetId="82" hidden="1">3</definedName>
    <definedName name="solver_typ" localSheetId="88" hidden="1">3</definedName>
    <definedName name="solver_typ" localSheetId="94" hidden="1">1</definedName>
    <definedName name="solver_typ" localSheetId="95" hidden="1">3</definedName>
    <definedName name="solver_typ" localSheetId="96" hidden="1">3</definedName>
    <definedName name="solver_typ" localSheetId="97" hidden="1">3</definedName>
    <definedName name="solver_typ" localSheetId="6" hidden="1">3</definedName>
    <definedName name="solver_typ" localSheetId="14" hidden="1">3</definedName>
    <definedName name="solver_typ" localSheetId="20" hidden="1">3</definedName>
    <definedName name="solver_typ" localSheetId="22" hidden="1">3</definedName>
    <definedName name="solver_typ" localSheetId="21" hidden="1">3</definedName>
    <definedName name="solver_typ" localSheetId="23" hidden="1">3</definedName>
    <definedName name="solver_typ" localSheetId="30" hidden="1">3</definedName>
    <definedName name="solver_typ" localSheetId="31" hidden="1">3</definedName>
    <definedName name="solver_typ" localSheetId="32" hidden="1">3</definedName>
    <definedName name="solver_typ" localSheetId="33" hidden="1">3</definedName>
    <definedName name="solver_typ" localSheetId="34" hidden="1">3</definedName>
    <definedName name="solver_typ" localSheetId="35" hidden="1">3</definedName>
    <definedName name="solver_typ" localSheetId="36" hidden="1">3</definedName>
    <definedName name="solver_typ" localSheetId="37" hidden="1">3</definedName>
    <definedName name="solver_typ" localSheetId="38" hidden="1">3</definedName>
    <definedName name="solver_typ" localSheetId="39" hidden="1">3</definedName>
    <definedName name="solver_typ" localSheetId="40" hidden="1">3</definedName>
    <definedName name="solver_typ" localSheetId="43" hidden="1">3</definedName>
    <definedName name="solver_typ" localSheetId="45" hidden="1">3</definedName>
    <definedName name="solver_typ" localSheetId="46" hidden="1">3</definedName>
    <definedName name="solver_typ" localSheetId="47" hidden="1">3</definedName>
    <definedName name="solver_typ" localSheetId="49" hidden="1">3</definedName>
    <definedName name="solver_typ" localSheetId="50" hidden="1">3</definedName>
    <definedName name="solver_typ" localSheetId="51" hidden="1">3</definedName>
    <definedName name="solver_val" localSheetId="106" hidden="1">0</definedName>
    <definedName name="solver_val" localSheetId="54" hidden="1">0</definedName>
    <definedName name="solver_val" localSheetId="55" hidden="1">0</definedName>
    <definedName name="solver_val" localSheetId="56" hidden="1">0</definedName>
    <definedName name="solver_val" localSheetId="57" hidden="1">0</definedName>
    <definedName name="solver_val" localSheetId="58" hidden="1">0</definedName>
    <definedName name="solver_val" localSheetId="59" hidden="1">0</definedName>
    <definedName name="solver_val" localSheetId="60" hidden="1">0</definedName>
    <definedName name="solver_val" localSheetId="61" hidden="1">0</definedName>
    <definedName name="solver_val" localSheetId="62" hidden="1">0</definedName>
    <definedName name="solver_val" localSheetId="63" hidden="1">0</definedName>
    <definedName name="solver_val" localSheetId="64" hidden="1">0</definedName>
    <definedName name="solver_val" localSheetId="65" hidden="1">0</definedName>
    <definedName name="solver_val" localSheetId="66" hidden="1">0</definedName>
    <definedName name="solver_val" localSheetId="67" hidden="1">0</definedName>
    <definedName name="solver_val" localSheetId="75" hidden="1">0</definedName>
    <definedName name="solver_val" localSheetId="74" hidden="1">0</definedName>
    <definedName name="solver_val" localSheetId="81" hidden="1">0</definedName>
    <definedName name="solver_val" localSheetId="79" hidden="1">0</definedName>
    <definedName name="solver_val" localSheetId="80" hidden="1">0</definedName>
    <definedName name="solver_val" localSheetId="77" hidden="1">0</definedName>
    <definedName name="solver_val" localSheetId="105" hidden="1">0</definedName>
    <definedName name="solver_val" localSheetId="76" hidden="1">0</definedName>
    <definedName name="solver_val" localSheetId="78" hidden="1">0</definedName>
    <definedName name="solver_val" localSheetId="82" hidden="1">0</definedName>
    <definedName name="solver_val" localSheetId="88" hidden="1">0</definedName>
    <definedName name="solver_val" localSheetId="94" hidden="1">0</definedName>
    <definedName name="solver_val" localSheetId="95" hidden="1">0</definedName>
    <definedName name="solver_val" localSheetId="96" hidden="1">0</definedName>
    <definedName name="solver_val" localSheetId="97" hidden="1">0</definedName>
    <definedName name="solver_val" localSheetId="6" hidden="1">0</definedName>
    <definedName name="solver_val" localSheetId="14" hidden="1">0</definedName>
    <definedName name="solver_val" localSheetId="20" hidden="1">101.122951</definedName>
    <definedName name="solver_val" localSheetId="22" hidden="1">101.122951</definedName>
    <definedName name="solver_val" localSheetId="21" hidden="1">101.122951</definedName>
    <definedName name="solver_val" localSheetId="23" hidden="1">101.122951</definedName>
    <definedName name="solver_val" localSheetId="30" hidden="1">0</definedName>
    <definedName name="solver_val" localSheetId="31" hidden="1">0</definedName>
    <definedName name="solver_val" localSheetId="32" hidden="1">0</definedName>
    <definedName name="solver_val" localSheetId="33" hidden="1">0</definedName>
    <definedName name="solver_val" localSheetId="34" hidden="1">0</definedName>
    <definedName name="solver_val" localSheetId="35" hidden="1">0</definedName>
    <definedName name="solver_val" localSheetId="36" hidden="1">0</definedName>
    <definedName name="solver_val" localSheetId="37" hidden="1">0</definedName>
    <definedName name="solver_val" localSheetId="38" hidden="1">0</definedName>
    <definedName name="solver_val" localSheetId="39" hidden="1">0</definedName>
    <definedName name="solver_val" localSheetId="40" hidden="1">0</definedName>
    <definedName name="solver_val" localSheetId="43" hidden="1">0</definedName>
    <definedName name="solver_val" localSheetId="45" hidden="1">0</definedName>
    <definedName name="solver_val" localSheetId="46" hidden="1">0</definedName>
    <definedName name="solver_val" localSheetId="47" hidden="1">0</definedName>
    <definedName name="solver_val" localSheetId="49" hidden="1">0</definedName>
    <definedName name="solver_val" localSheetId="50" hidden="1">0</definedName>
    <definedName name="solver_val" localSheetId="51" hidden="1">0</definedName>
    <definedName name="solver_ver" localSheetId="94" hidden="1">3</definedName>
    <definedName name="solver_ver" localSheetId="96" hidden="1">3</definedName>
    <definedName name="solver_ver" localSheetId="14"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275" l="1"/>
  <c r="Q11" i="275"/>
  <c r="P11" i="275"/>
  <c r="O11" i="275"/>
  <c r="N11" i="275"/>
  <c r="M11" i="275"/>
  <c r="M9" i="275"/>
  <c r="A5" i="275"/>
  <c r="A6" i="275" s="1"/>
  <c r="A7" i="275" s="1"/>
  <c r="A8" i="275" s="1"/>
  <c r="A9" i="275" s="1"/>
  <c r="A10" i="275" s="1"/>
  <c r="A11" i="275" s="1"/>
  <c r="A12" i="275" s="1"/>
  <c r="G1" i="275"/>
  <c r="F1" i="275"/>
  <c r="E1" i="275"/>
  <c r="D1" i="275"/>
  <c r="C1" i="275"/>
  <c r="B1" i="275"/>
  <c r="K9" i="274"/>
  <c r="A5" i="274"/>
  <c r="A6" i="274" s="1"/>
  <c r="A7" i="274" s="1"/>
  <c r="A8" i="274" s="1"/>
  <c r="A9" i="274" s="1"/>
  <c r="A10" i="274" s="1"/>
  <c r="A11" i="274" s="1"/>
  <c r="A12" i="274" s="1"/>
  <c r="A13" i="274" s="1"/>
  <c r="A14" i="274" s="1"/>
  <c r="A15" i="274" s="1"/>
  <c r="A16" i="274" s="1"/>
  <c r="A17" i="274" s="1"/>
  <c r="A18" i="274" s="1"/>
  <c r="A19" i="274" s="1"/>
  <c r="A20" i="274" s="1"/>
  <c r="A21" i="274" s="1"/>
  <c r="A22" i="274" s="1"/>
  <c r="A23" i="274" s="1"/>
  <c r="A24" i="274" s="1"/>
  <c r="A25" i="274" s="1"/>
  <c r="A26" i="274" s="1"/>
  <c r="A27" i="274" s="1"/>
  <c r="A28" i="274" s="1"/>
  <c r="A29" i="274" s="1"/>
  <c r="A30" i="274" s="1"/>
  <c r="A31" i="274" s="1"/>
  <c r="A32" i="274" s="1"/>
  <c r="A33" i="274" s="1"/>
  <c r="A34" i="274" s="1"/>
  <c r="A35" i="274" s="1"/>
  <c r="A36" i="274" s="1"/>
  <c r="A37" i="274" s="1"/>
  <c r="A38" i="274" s="1"/>
  <c r="A39" i="274" s="1"/>
  <c r="A40" i="274" s="1"/>
  <c r="A41" i="274" s="1"/>
  <c r="A42" i="274" s="1"/>
  <c r="A43" i="274" s="1"/>
  <c r="A44" i="274" s="1"/>
  <c r="A45" i="274" s="1"/>
  <c r="A46" i="274" s="1"/>
  <c r="A47" i="274" s="1"/>
  <c r="A48" i="274" s="1"/>
  <c r="A49" i="274" s="1"/>
  <c r="A50" i="274" s="1"/>
  <c r="A51" i="274" s="1"/>
  <c r="A52" i="274" s="1"/>
  <c r="A53" i="274" s="1"/>
  <c r="A54" i="274" s="1"/>
  <c r="A55" i="274" s="1"/>
  <c r="A56" i="274" s="1"/>
  <c r="A57" i="274" s="1"/>
  <c r="A58" i="274" s="1"/>
  <c r="A59" i="274" s="1"/>
  <c r="A60" i="274" s="1"/>
  <c r="A61" i="274" s="1"/>
  <c r="A62" i="274" s="1"/>
  <c r="A63" i="274" s="1"/>
  <c r="A64" i="274" s="1"/>
  <c r="A65" i="274" s="1"/>
  <c r="A66" i="274" s="1"/>
  <c r="A67" i="274" s="1"/>
  <c r="A68" i="274" s="1"/>
  <c r="A69" i="274" s="1"/>
  <c r="A70" i="274" s="1"/>
  <c r="A71" i="274" s="1"/>
  <c r="A72" i="274" s="1"/>
  <c r="A73" i="274" s="1"/>
  <c r="A74" i="274" s="1"/>
  <c r="A75" i="274" s="1"/>
  <c r="A76" i="274" s="1"/>
  <c r="A77" i="274" s="1"/>
  <c r="A78" i="274" s="1"/>
  <c r="A79" i="274" s="1"/>
  <c r="A80" i="274" s="1"/>
  <c r="A81" i="274" s="1"/>
  <c r="A82" i="274" s="1"/>
  <c r="A83" i="274" s="1"/>
  <c r="A84" i="274" s="1"/>
  <c r="A85" i="274" s="1"/>
  <c r="A86" i="274" s="1"/>
  <c r="A87" i="274" s="1"/>
  <c r="A88" i="274" s="1"/>
  <c r="A89" i="274" s="1"/>
  <c r="A90" i="274" s="1"/>
  <c r="A91" i="274" s="1"/>
  <c r="A92" i="274" s="1"/>
  <c r="A93" i="274" s="1"/>
  <c r="A94" i="274" s="1"/>
  <c r="A95" i="274" s="1"/>
  <c r="A96" i="274" s="1"/>
  <c r="A97" i="274" s="1"/>
  <c r="A98" i="274" s="1"/>
  <c r="A99" i="274" s="1"/>
  <c r="A100" i="274" s="1"/>
  <c r="A101" i="274" s="1"/>
  <c r="A102" i="274" s="1"/>
  <c r="A103" i="274" s="1"/>
  <c r="A104" i="274" s="1"/>
  <c r="E1" i="274"/>
  <c r="D1" i="274"/>
  <c r="C1" i="274"/>
  <c r="B1" i="274"/>
  <c r="K18" i="266"/>
  <c r="K14" i="273"/>
  <c r="K9" i="273"/>
  <c r="A5" i="273"/>
  <c r="E1" i="273"/>
  <c r="D1" i="273"/>
  <c r="C1" i="273"/>
  <c r="B1" i="273"/>
  <c r="K9" i="272"/>
  <c r="A5" i="272"/>
  <c r="E1" i="272"/>
  <c r="D1" i="272"/>
  <c r="C1" i="272"/>
  <c r="B1" i="272"/>
  <c r="M5" i="266"/>
  <c r="F17" i="270"/>
  <c r="H3" i="270"/>
  <c r="H2" i="270"/>
  <c r="H1" i="270"/>
  <c r="B12" i="261"/>
  <c r="F17" i="269"/>
  <c r="H3" i="269"/>
  <c r="H2" i="269"/>
  <c r="H1" i="269"/>
  <c r="F23" i="267"/>
  <c r="G11" i="267"/>
  <c r="G13" i="267" s="1"/>
  <c r="G10" i="267"/>
  <c r="G12" i="267" s="1"/>
  <c r="R4" i="267"/>
  <c r="Q4" i="267"/>
  <c r="H3" i="267"/>
  <c r="H4" i="267" s="1"/>
  <c r="H2" i="267"/>
  <c r="H1" i="267"/>
  <c r="N11" i="266"/>
  <c r="L11" i="266"/>
  <c r="K11" i="266"/>
  <c r="M11" i="266"/>
  <c r="A5" i="266"/>
  <c r="L4" i="266"/>
  <c r="K4" i="266"/>
  <c r="G4" i="266"/>
  <c r="E1" i="266"/>
  <c r="D1" i="266"/>
  <c r="C1" i="266"/>
  <c r="B1" i="266"/>
  <c r="N11" i="265"/>
  <c r="M11" i="265"/>
  <c r="L11" i="265"/>
  <c r="K11" i="265"/>
  <c r="A5" i="265"/>
  <c r="G4" i="265"/>
  <c r="AG3" i="265"/>
  <c r="AG5" i="265" s="1"/>
  <c r="AG2" i="265"/>
  <c r="E1" i="265"/>
  <c r="D1" i="265"/>
  <c r="C1" i="265"/>
  <c r="B1" i="265"/>
  <c r="N11" i="264"/>
  <c r="L11" i="264"/>
  <c r="L12" i="264" s="1"/>
  <c r="L13" i="264" s="1"/>
  <c r="K11" i="264"/>
  <c r="M5" i="264"/>
  <c r="M11" i="264" s="1"/>
  <c r="A5" i="264"/>
  <c r="K4" i="264"/>
  <c r="L4" i="264" s="1"/>
  <c r="G4" i="264"/>
  <c r="E1" i="264"/>
  <c r="D1" i="264"/>
  <c r="C1" i="264"/>
  <c r="B1" i="264"/>
  <c r="F2" i="263"/>
  <c r="M19" i="262"/>
  <c r="M29" i="262" s="1"/>
  <c r="B8" i="261"/>
  <c r="AI12" i="260"/>
  <c r="AK7" i="260"/>
  <c r="AK13" i="260" s="1"/>
  <c r="AJ7" i="260"/>
  <c r="AJ13" i="260" s="1"/>
  <c r="AI7" i="260"/>
  <c r="AI13" i="260" s="1"/>
  <c r="Z7" i="260"/>
  <c r="AK6" i="260"/>
  <c r="AC6" i="260" s="1"/>
  <c r="AJ6" i="260"/>
  <c r="AI6" i="260"/>
  <c r="AB3" i="260"/>
  <c r="AA3" i="260"/>
  <c r="C6" i="259"/>
  <c r="E13" i="258"/>
  <c r="D13" i="258"/>
  <c r="F8" i="257"/>
  <c r="C8" i="257"/>
  <c r="C9" i="257" s="1"/>
  <c r="C5" i="257" s="1"/>
  <c r="B7" i="254"/>
  <c r="K9" i="253"/>
  <c r="A5" i="253"/>
  <c r="A6" i="253" s="1"/>
  <c r="A7" i="253" s="1"/>
  <c r="A8" i="253" s="1"/>
  <c r="A9" i="253" s="1"/>
  <c r="A10" i="253" s="1"/>
  <c r="A11" i="253" s="1"/>
  <c r="A12" i="253" s="1"/>
  <c r="A13" i="253" s="1"/>
  <c r="A14" i="253" s="1"/>
  <c r="A15" i="253" s="1"/>
  <c r="E1" i="253"/>
  <c r="D1" i="253"/>
  <c r="C1" i="253"/>
  <c r="B1" i="253"/>
  <c r="O9" i="252"/>
  <c r="R5" i="252"/>
  <c r="P5" i="252"/>
  <c r="A5" i="252"/>
  <c r="G1" i="252"/>
  <c r="D1" i="252"/>
  <c r="C1" i="252"/>
  <c r="B1" i="252"/>
  <c r="O9" i="251"/>
  <c r="P5" i="251"/>
  <c r="A5" i="251"/>
  <c r="G1" i="251"/>
  <c r="D1" i="251"/>
  <c r="C1" i="251"/>
  <c r="B1" i="251"/>
  <c r="B1" i="250"/>
  <c r="C1" i="250"/>
  <c r="C82" i="250" s="1"/>
  <c r="D1" i="250"/>
  <c r="D82" i="250" s="1"/>
  <c r="E1" i="250"/>
  <c r="E82" i="250" s="1"/>
  <c r="A5" i="250"/>
  <c r="A6" i="250"/>
  <c r="B6" i="250" s="1"/>
  <c r="A7" i="250"/>
  <c r="A8" i="250"/>
  <c r="A9" i="250"/>
  <c r="K9" i="250"/>
  <c r="A10" i="250"/>
  <c r="A11" i="250"/>
  <c r="K11" i="250"/>
  <c r="L11" i="250"/>
  <c r="M11" i="250"/>
  <c r="N11" i="250"/>
  <c r="A12" i="250"/>
  <c r="K12" i="250"/>
  <c r="L12" i="250"/>
  <c r="M12" i="250"/>
  <c r="N12" i="250"/>
  <c r="A13" i="250"/>
  <c r="B13" i="250" s="1"/>
  <c r="K13" i="250"/>
  <c r="L13" i="250"/>
  <c r="M13" i="250"/>
  <c r="N13" i="250"/>
  <c r="A14" i="250"/>
  <c r="A15" i="250"/>
  <c r="D15" i="250"/>
  <c r="E15" i="250"/>
  <c r="A16" i="250"/>
  <c r="B16" i="250"/>
  <c r="F16" i="250" s="1"/>
  <c r="C16" i="250"/>
  <c r="D16" i="250"/>
  <c r="E16" i="250"/>
  <c r="A17" i="250"/>
  <c r="B17" i="250"/>
  <c r="F17" i="250" s="1"/>
  <c r="C17" i="250"/>
  <c r="D17" i="250"/>
  <c r="E17" i="250"/>
  <c r="A18" i="250"/>
  <c r="B18" i="250"/>
  <c r="C18" i="250"/>
  <c r="D18" i="250"/>
  <c r="F18" i="250" s="1"/>
  <c r="E18" i="250"/>
  <c r="A19" i="250"/>
  <c r="B19" i="250"/>
  <c r="C19" i="250"/>
  <c r="D19" i="250"/>
  <c r="E19" i="250"/>
  <c r="F19" i="250"/>
  <c r="A20" i="250"/>
  <c r="B20" i="250"/>
  <c r="F20" i="250" s="1"/>
  <c r="C20" i="250"/>
  <c r="D20" i="250"/>
  <c r="E20" i="250"/>
  <c r="A21" i="250"/>
  <c r="B21" i="250"/>
  <c r="F21" i="250" s="1"/>
  <c r="C21" i="250"/>
  <c r="D21" i="250"/>
  <c r="E21" i="250"/>
  <c r="A22" i="250"/>
  <c r="B22" i="250"/>
  <c r="F22" i="250" s="1"/>
  <c r="C22" i="250"/>
  <c r="D22" i="250"/>
  <c r="E22" i="250"/>
  <c r="A23" i="250"/>
  <c r="B23" i="250"/>
  <c r="F23" i="250" s="1"/>
  <c r="C23" i="250"/>
  <c r="D23" i="250"/>
  <c r="E23" i="250"/>
  <c r="A24" i="250"/>
  <c r="B24" i="250" s="1"/>
  <c r="F24" i="250" s="1"/>
  <c r="C24" i="250"/>
  <c r="D24" i="250"/>
  <c r="E24" i="250"/>
  <c r="A25" i="250"/>
  <c r="B25" i="250"/>
  <c r="F25" i="250" s="1"/>
  <c r="C25" i="250"/>
  <c r="D25" i="250"/>
  <c r="E25" i="250"/>
  <c r="A26" i="250"/>
  <c r="B26" i="250"/>
  <c r="F26" i="250" s="1"/>
  <c r="C26" i="250"/>
  <c r="D26" i="250"/>
  <c r="E26" i="250"/>
  <c r="A27" i="250"/>
  <c r="B27" i="250"/>
  <c r="F27" i="250" s="1"/>
  <c r="C27" i="250"/>
  <c r="D27" i="250"/>
  <c r="E27" i="250"/>
  <c r="A28" i="250"/>
  <c r="B28" i="250"/>
  <c r="F28" i="250" s="1"/>
  <c r="C28" i="250"/>
  <c r="D28" i="250"/>
  <c r="E28" i="250"/>
  <c r="A29" i="250"/>
  <c r="B29" i="250"/>
  <c r="F29" i="250" s="1"/>
  <c r="C29" i="250"/>
  <c r="D29" i="250"/>
  <c r="E29" i="250"/>
  <c r="A30" i="250"/>
  <c r="B30" i="250"/>
  <c r="C30" i="250"/>
  <c r="F30" i="250" s="1"/>
  <c r="D30" i="250"/>
  <c r="E30" i="250"/>
  <c r="A31" i="250"/>
  <c r="B31" i="250"/>
  <c r="F31" i="250" s="1"/>
  <c r="C31" i="250"/>
  <c r="D31" i="250"/>
  <c r="E31" i="250"/>
  <c r="A32" i="250"/>
  <c r="D32" i="250"/>
  <c r="E32" i="250"/>
  <c r="A33" i="250"/>
  <c r="B33" i="250"/>
  <c r="F33" i="250" s="1"/>
  <c r="C33" i="250"/>
  <c r="D33" i="250"/>
  <c r="E33" i="250"/>
  <c r="A34" i="250"/>
  <c r="B34" i="250"/>
  <c r="F34" i="250" s="1"/>
  <c r="C34" i="250"/>
  <c r="D34" i="250"/>
  <c r="E34" i="250"/>
  <c r="A35" i="250"/>
  <c r="B35" i="250"/>
  <c r="F35" i="250" s="1"/>
  <c r="C35" i="250"/>
  <c r="D35" i="250"/>
  <c r="E35" i="250"/>
  <c r="A36" i="250"/>
  <c r="B36" i="250"/>
  <c r="F36" i="250" s="1"/>
  <c r="C36" i="250"/>
  <c r="D36" i="250"/>
  <c r="E36" i="250"/>
  <c r="A37" i="250"/>
  <c r="B37" i="250"/>
  <c r="F37" i="250" s="1"/>
  <c r="C37" i="250"/>
  <c r="D37" i="250"/>
  <c r="E37" i="250"/>
  <c r="A38" i="250"/>
  <c r="B38" i="250" s="1"/>
  <c r="F38" i="250" s="1"/>
  <c r="C38" i="250"/>
  <c r="D38" i="250"/>
  <c r="E38" i="250"/>
  <c r="A39" i="250"/>
  <c r="B39" i="250"/>
  <c r="F39" i="250" s="1"/>
  <c r="C39" i="250"/>
  <c r="D39" i="250"/>
  <c r="E39" i="250"/>
  <c r="A40" i="250"/>
  <c r="B40" i="250"/>
  <c r="F40" i="250" s="1"/>
  <c r="C40" i="250"/>
  <c r="D40" i="250"/>
  <c r="E40" i="250"/>
  <c r="A41" i="250"/>
  <c r="B41" i="250" s="1"/>
  <c r="F41" i="250" s="1"/>
  <c r="C41" i="250"/>
  <c r="D41" i="250"/>
  <c r="E41" i="250"/>
  <c r="A42" i="250"/>
  <c r="B42" i="250" s="1"/>
  <c r="F42" i="250" s="1"/>
  <c r="C42" i="250"/>
  <c r="D42" i="250"/>
  <c r="E42" i="250"/>
  <c r="A43" i="250"/>
  <c r="B43" i="250" s="1"/>
  <c r="F43" i="250" s="1"/>
  <c r="C43" i="250"/>
  <c r="D43" i="250"/>
  <c r="E43" i="250"/>
  <c r="A44" i="250"/>
  <c r="B44" i="250" s="1"/>
  <c r="F44" i="250" s="1"/>
  <c r="C44" i="250"/>
  <c r="D44" i="250"/>
  <c r="E44" i="250"/>
  <c r="A45" i="250"/>
  <c r="B45" i="250"/>
  <c r="F45" i="250" s="1"/>
  <c r="C45" i="250"/>
  <c r="D45" i="250"/>
  <c r="E45" i="250"/>
  <c r="A46" i="250"/>
  <c r="B46" i="250" s="1"/>
  <c r="F46" i="250" s="1"/>
  <c r="C46" i="250"/>
  <c r="D46" i="250"/>
  <c r="E46" i="250"/>
  <c r="A47" i="250"/>
  <c r="B47" i="250" s="1"/>
  <c r="F47" i="250" s="1"/>
  <c r="C47" i="250"/>
  <c r="D47" i="250"/>
  <c r="E47" i="250"/>
  <c r="A48" i="250"/>
  <c r="B48" i="250"/>
  <c r="F48" i="250" s="1"/>
  <c r="C48" i="250"/>
  <c r="D48" i="250"/>
  <c r="E48" i="250"/>
  <c r="A49" i="250"/>
  <c r="B49" i="250"/>
  <c r="F49" i="250" s="1"/>
  <c r="C49" i="250"/>
  <c r="D49" i="250"/>
  <c r="E49" i="250"/>
  <c r="A50" i="250"/>
  <c r="B50" i="250" s="1"/>
  <c r="F50" i="250" s="1"/>
  <c r="C50" i="250"/>
  <c r="D50" i="250"/>
  <c r="E50" i="250"/>
  <c r="A51" i="250"/>
  <c r="B51" i="250"/>
  <c r="F51" i="250" s="1"/>
  <c r="C51" i="250"/>
  <c r="D51" i="250"/>
  <c r="E51" i="250"/>
  <c r="A52" i="250"/>
  <c r="B52" i="250"/>
  <c r="F52" i="250" s="1"/>
  <c r="C52" i="250"/>
  <c r="D52" i="250"/>
  <c r="E52" i="250"/>
  <c r="A53" i="250"/>
  <c r="B53" i="250"/>
  <c r="F53" i="250" s="1"/>
  <c r="C53" i="250"/>
  <c r="D53" i="250"/>
  <c r="E53" i="250"/>
  <c r="A54" i="250"/>
  <c r="B54" i="250"/>
  <c r="F54" i="250" s="1"/>
  <c r="C54" i="250"/>
  <c r="D54" i="250"/>
  <c r="E54" i="250"/>
  <c r="A55" i="250"/>
  <c r="B55" i="250"/>
  <c r="F55" i="250" s="1"/>
  <c r="C55" i="250"/>
  <c r="D55" i="250"/>
  <c r="E55" i="250"/>
  <c r="A56" i="250"/>
  <c r="B56" i="250" s="1"/>
  <c r="F56" i="250" s="1"/>
  <c r="C56" i="250"/>
  <c r="D56" i="250"/>
  <c r="E56" i="250"/>
  <c r="A57" i="250"/>
  <c r="B57" i="250"/>
  <c r="F57" i="250" s="1"/>
  <c r="C57" i="250"/>
  <c r="D57" i="250"/>
  <c r="E57" i="250"/>
  <c r="A58" i="250"/>
  <c r="B58" i="250"/>
  <c r="F58" i="250" s="1"/>
  <c r="C58" i="250"/>
  <c r="D58" i="250"/>
  <c r="E58" i="250"/>
  <c r="A59" i="250"/>
  <c r="B59" i="250"/>
  <c r="F59" i="250" s="1"/>
  <c r="C59" i="250"/>
  <c r="D59" i="250"/>
  <c r="E59" i="250"/>
  <c r="A60" i="250"/>
  <c r="B60" i="250"/>
  <c r="F60" i="250" s="1"/>
  <c r="C60" i="250"/>
  <c r="D60" i="250"/>
  <c r="E60" i="250"/>
  <c r="A61" i="250"/>
  <c r="B61" i="250" s="1"/>
  <c r="F61" i="250" s="1"/>
  <c r="C61" i="250"/>
  <c r="D61" i="250"/>
  <c r="E61" i="250"/>
  <c r="A62" i="250"/>
  <c r="B62" i="250"/>
  <c r="F62" i="250" s="1"/>
  <c r="C62" i="250"/>
  <c r="D62" i="250"/>
  <c r="E62" i="250"/>
  <c r="A63" i="250"/>
  <c r="B63" i="250"/>
  <c r="F63" i="250" s="1"/>
  <c r="C63" i="250"/>
  <c r="D63" i="250"/>
  <c r="E63" i="250"/>
  <c r="A64" i="250"/>
  <c r="B64" i="250"/>
  <c r="F64" i="250" s="1"/>
  <c r="C64" i="250"/>
  <c r="D64" i="250"/>
  <c r="E64" i="250"/>
  <c r="A65" i="250"/>
  <c r="B65" i="250"/>
  <c r="F65" i="250" s="1"/>
  <c r="C65" i="250"/>
  <c r="D65" i="250"/>
  <c r="E65" i="250"/>
  <c r="A66" i="250"/>
  <c r="B66" i="250"/>
  <c r="F66" i="250" s="1"/>
  <c r="C66" i="250"/>
  <c r="D66" i="250"/>
  <c r="E66" i="250"/>
  <c r="A67" i="250"/>
  <c r="B67" i="250"/>
  <c r="F67" i="250" s="1"/>
  <c r="C67" i="250"/>
  <c r="D67" i="250"/>
  <c r="E67" i="250"/>
  <c r="A68" i="250"/>
  <c r="B68" i="250"/>
  <c r="F68" i="250" s="1"/>
  <c r="C68" i="250"/>
  <c r="D68" i="250"/>
  <c r="E68" i="250"/>
  <c r="A69" i="250"/>
  <c r="B69" i="250"/>
  <c r="F69" i="250" s="1"/>
  <c r="C69" i="250"/>
  <c r="D69" i="250"/>
  <c r="E69" i="250"/>
  <c r="A70" i="250"/>
  <c r="B70" i="250" s="1"/>
  <c r="F70" i="250" s="1"/>
  <c r="C70" i="250"/>
  <c r="D70" i="250"/>
  <c r="E70" i="250"/>
  <c r="A71" i="250"/>
  <c r="B71" i="250" s="1"/>
  <c r="F71" i="250" s="1"/>
  <c r="C71" i="250"/>
  <c r="D71" i="250"/>
  <c r="E71" i="250"/>
  <c r="A72" i="250"/>
  <c r="B72" i="250"/>
  <c r="F72" i="250" s="1"/>
  <c r="C72" i="250"/>
  <c r="D72" i="250"/>
  <c r="E72" i="250"/>
  <c r="A73" i="250"/>
  <c r="B73" i="250"/>
  <c r="F73" i="250" s="1"/>
  <c r="C73" i="250"/>
  <c r="D73" i="250"/>
  <c r="E73" i="250"/>
  <c r="A74" i="250"/>
  <c r="B74" i="250"/>
  <c r="F74" i="250" s="1"/>
  <c r="C74" i="250"/>
  <c r="D74" i="250"/>
  <c r="E74" i="250"/>
  <c r="A75" i="250"/>
  <c r="B75" i="250"/>
  <c r="F75" i="250" s="1"/>
  <c r="C75" i="250"/>
  <c r="D75" i="250"/>
  <c r="E75" i="250"/>
  <c r="A76" i="250"/>
  <c r="B76" i="250" s="1"/>
  <c r="F76" i="250" s="1"/>
  <c r="C76" i="250"/>
  <c r="D76" i="250"/>
  <c r="E76" i="250"/>
  <c r="A77" i="250"/>
  <c r="B77" i="250"/>
  <c r="F77" i="250" s="1"/>
  <c r="C77" i="250"/>
  <c r="D77" i="250"/>
  <c r="E77" i="250"/>
  <c r="A78" i="250"/>
  <c r="B78" i="250"/>
  <c r="F78" i="250" s="1"/>
  <c r="C78" i="250"/>
  <c r="D78" i="250"/>
  <c r="E78" i="250"/>
  <c r="A79" i="250"/>
  <c r="B79" i="250"/>
  <c r="F79" i="250" s="1"/>
  <c r="C79" i="250"/>
  <c r="D79" i="250"/>
  <c r="E79" i="250"/>
  <c r="A80" i="250"/>
  <c r="B80" i="250"/>
  <c r="F80" i="250" s="1"/>
  <c r="C80" i="250"/>
  <c r="D80" i="250"/>
  <c r="E80" i="250"/>
  <c r="A81" i="250"/>
  <c r="B81" i="250"/>
  <c r="F81" i="250" s="1"/>
  <c r="C81" i="250"/>
  <c r="D81" i="250"/>
  <c r="E81" i="250"/>
  <c r="A82" i="250"/>
  <c r="A83" i="250" s="1"/>
  <c r="B82" i="250"/>
  <c r="F82" i="250" s="1"/>
  <c r="K9" i="249"/>
  <c r="A5" i="249"/>
  <c r="A6" i="249" s="1"/>
  <c r="A7" i="249" s="1"/>
  <c r="A8" i="249" s="1"/>
  <c r="A9" i="249" s="1"/>
  <c r="A10" i="249" s="1"/>
  <c r="A11" i="249" s="1"/>
  <c r="A12" i="249" s="1"/>
  <c r="A13" i="249" s="1"/>
  <c r="A14" i="249" s="1"/>
  <c r="A15" i="249" s="1"/>
  <c r="A16" i="249" s="1"/>
  <c r="A17" i="249" s="1"/>
  <c r="A18" i="249" s="1"/>
  <c r="A19" i="249" s="1"/>
  <c r="A20" i="249" s="1"/>
  <c r="A21" i="249" s="1"/>
  <c r="A22" i="249" s="1"/>
  <c r="A23" i="249" s="1"/>
  <c r="A24" i="249" s="1"/>
  <c r="A25" i="249" s="1"/>
  <c r="A26" i="249" s="1"/>
  <c r="A27" i="249" s="1"/>
  <c r="A28" i="249" s="1"/>
  <c r="A29" i="249" s="1"/>
  <c r="A30" i="249" s="1"/>
  <c r="A31" i="249" s="1"/>
  <c r="A32" i="249" s="1"/>
  <c r="A33" i="249" s="1"/>
  <c r="A34" i="249" s="1"/>
  <c r="A35" i="249" s="1"/>
  <c r="A36" i="249" s="1"/>
  <c r="A37" i="249" s="1"/>
  <c r="A38" i="249" s="1"/>
  <c r="A39" i="249" s="1"/>
  <c r="A40" i="249" s="1"/>
  <c r="A41" i="249" s="1"/>
  <c r="A42" i="249" s="1"/>
  <c r="A43" i="249" s="1"/>
  <c r="A44" i="249" s="1"/>
  <c r="A45" i="249" s="1"/>
  <c r="A46" i="249" s="1"/>
  <c r="A47" i="249" s="1"/>
  <c r="A48" i="249" s="1"/>
  <c r="A49" i="249" s="1"/>
  <c r="A50" i="249" s="1"/>
  <c r="A51" i="249" s="1"/>
  <c r="A52" i="249" s="1"/>
  <c r="A53" i="249" s="1"/>
  <c r="A54" i="249" s="1"/>
  <c r="A55" i="249" s="1"/>
  <c r="A56" i="249" s="1"/>
  <c r="A57" i="249" s="1"/>
  <c r="A58" i="249" s="1"/>
  <c r="A59" i="249" s="1"/>
  <c r="A60" i="249" s="1"/>
  <c r="A61" i="249" s="1"/>
  <c r="A62" i="249" s="1"/>
  <c r="A63" i="249" s="1"/>
  <c r="A64" i="249" s="1"/>
  <c r="A65" i="249" s="1"/>
  <c r="A66" i="249" s="1"/>
  <c r="A67" i="249" s="1"/>
  <c r="A68" i="249" s="1"/>
  <c r="A69" i="249" s="1"/>
  <c r="A70" i="249" s="1"/>
  <c r="A71" i="249" s="1"/>
  <c r="A72" i="249" s="1"/>
  <c r="A73" i="249" s="1"/>
  <c r="A74" i="249" s="1"/>
  <c r="A75" i="249" s="1"/>
  <c r="A76" i="249" s="1"/>
  <c r="A77" i="249" s="1"/>
  <c r="A78" i="249" s="1"/>
  <c r="A79" i="249" s="1"/>
  <c r="A80" i="249" s="1"/>
  <c r="A81" i="249" s="1"/>
  <c r="A82" i="249" s="1"/>
  <c r="A83" i="249" s="1"/>
  <c r="A84" i="249" s="1"/>
  <c r="A85" i="249" s="1"/>
  <c r="A86" i="249" s="1"/>
  <c r="A87" i="249" s="1"/>
  <c r="A88" i="249" s="1"/>
  <c r="A89" i="249" s="1"/>
  <c r="A90" i="249" s="1"/>
  <c r="A91" i="249" s="1"/>
  <c r="A92" i="249" s="1"/>
  <c r="A93" i="249" s="1"/>
  <c r="A94" i="249" s="1"/>
  <c r="A95" i="249" s="1"/>
  <c r="A96" i="249" s="1"/>
  <c r="A97" i="249" s="1"/>
  <c r="A98" i="249" s="1"/>
  <c r="A99" i="249" s="1"/>
  <c r="A100" i="249" s="1"/>
  <c r="A101" i="249" s="1"/>
  <c r="A102" i="249" s="1"/>
  <c r="A103" i="249" s="1"/>
  <c r="A104" i="249" s="1"/>
  <c r="E1" i="249"/>
  <c r="D1" i="249"/>
  <c r="C1" i="249"/>
  <c r="B1" i="249"/>
  <c r="K9" i="248"/>
  <c r="A5" i="248"/>
  <c r="A6" i="248" s="1"/>
  <c r="A7" i="248" s="1"/>
  <c r="A8" i="248" s="1"/>
  <c r="A9" i="248" s="1"/>
  <c r="A10" i="248" s="1"/>
  <c r="A11" i="248" s="1"/>
  <c r="A12" i="248" s="1"/>
  <c r="A13" i="248" s="1"/>
  <c r="A14" i="248" s="1"/>
  <c r="A15" i="248" s="1"/>
  <c r="A16" i="248" s="1"/>
  <c r="A17" i="248" s="1"/>
  <c r="A18" i="248" s="1"/>
  <c r="A19" i="248" s="1"/>
  <c r="A20" i="248" s="1"/>
  <c r="A21" i="248" s="1"/>
  <c r="A22" i="248" s="1"/>
  <c r="A23" i="248" s="1"/>
  <c r="A24" i="248" s="1"/>
  <c r="A25" i="248" s="1"/>
  <c r="A26" i="248" s="1"/>
  <c r="A27" i="248" s="1"/>
  <c r="A28" i="248" s="1"/>
  <c r="A29" i="248" s="1"/>
  <c r="A30" i="248" s="1"/>
  <c r="A31" i="248" s="1"/>
  <c r="A32" i="248" s="1"/>
  <c r="A33" i="248" s="1"/>
  <c r="A34" i="248" s="1"/>
  <c r="A35" i="248" s="1"/>
  <c r="A36" i="248" s="1"/>
  <c r="A37" i="248" s="1"/>
  <c r="A38" i="248" s="1"/>
  <c r="A39" i="248" s="1"/>
  <c r="A40" i="248" s="1"/>
  <c r="A41" i="248" s="1"/>
  <c r="A42" i="248" s="1"/>
  <c r="A43" i="248" s="1"/>
  <c r="A44" i="248" s="1"/>
  <c r="A45" i="248" s="1"/>
  <c r="A46" i="248" s="1"/>
  <c r="A47" i="248" s="1"/>
  <c r="A48" i="248" s="1"/>
  <c r="A49" i="248" s="1"/>
  <c r="A50" i="248" s="1"/>
  <c r="A51" i="248" s="1"/>
  <c r="A52" i="248" s="1"/>
  <c r="A53" i="248" s="1"/>
  <c r="A54" i="248" s="1"/>
  <c r="A55" i="248" s="1"/>
  <c r="A56" i="248" s="1"/>
  <c r="A57" i="248" s="1"/>
  <c r="A58" i="248" s="1"/>
  <c r="A59" i="248" s="1"/>
  <c r="A60" i="248" s="1"/>
  <c r="A61" i="248" s="1"/>
  <c r="A62" i="248" s="1"/>
  <c r="A63" i="248" s="1"/>
  <c r="A64" i="248" s="1"/>
  <c r="A65" i="248" s="1"/>
  <c r="A66" i="248" s="1"/>
  <c r="A67" i="248" s="1"/>
  <c r="A68" i="248" s="1"/>
  <c r="A69" i="248" s="1"/>
  <c r="A70" i="248" s="1"/>
  <c r="A71" i="248" s="1"/>
  <c r="A72" i="248" s="1"/>
  <c r="A73" i="248" s="1"/>
  <c r="A74" i="248" s="1"/>
  <c r="A75" i="248" s="1"/>
  <c r="A76" i="248" s="1"/>
  <c r="A77" i="248" s="1"/>
  <c r="A78" i="248" s="1"/>
  <c r="A79" i="248" s="1"/>
  <c r="A80" i="248" s="1"/>
  <c r="A81" i="248" s="1"/>
  <c r="A82" i="248" s="1"/>
  <c r="A83" i="248" s="1"/>
  <c r="A84" i="248" s="1"/>
  <c r="A85" i="248" s="1"/>
  <c r="A86" i="248" s="1"/>
  <c r="A87" i="248" s="1"/>
  <c r="A88" i="248" s="1"/>
  <c r="A89" i="248" s="1"/>
  <c r="A90" i="248" s="1"/>
  <c r="A91" i="248" s="1"/>
  <c r="A92" i="248" s="1"/>
  <c r="A93" i="248" s="1"/>
  <c r="A94" i="248" s="1"/>
  <c r="A95" i="248" s="1"/>
  <c r="A96" i="248" s="1"/>
  <c r="A97" i="248" s="1"/>
  <c r="A98" i="248" s="1"/>
  <c r="A99" i="248" s="1"/>
  <c r="A100" i="248" s="1"/>
  <c r="A101" i="248" s="1"/>
  <c r="A102" i="248" s="1"/>
  <c r="A103" i="248" s="1"/>
  <c r="A104" i="248" s="1"/>
  <c r="E1" i="248"/>
  <c r="D1" i="248"/>
  <c r="C1" i="248"/>
  <c r="B1" i="248"/>
  <c r="A3" i="247"/>
  <c r="A4" i="247" s="1"/>
  <c r="A5" i="247" s="1"/>
  <c r="A6" i="247" s="1"/>
  <c r="A7" i="247" s="1"/>
  <c r="A3" i="246"/>
  <c r="A4" i="246" s="1"/>
  <c r="A5" i="246" s="1"/>
  <c r="A6" i="246" s="1"/>
  <c r="A3" i="245"/>
  <c r="A4" i="245" s="1"/>
  <c r="A3" i="244"/>
  <c r="A4" i="244" s="1"/>
  <c r="B13" i="243"/>
  <c r="B15" i="243" s="1"/>
  <c r="B16" i="243" s="1"/>
  <c r="B6" i="243"/>
  <c r="C21" i="242"/>
  <c r="C20" i="242"/>
  <c r="C16" i="242"/>
  <c r="C15" i="242"/>
  <c r="D15" i="242" s="1"/>
  <c r="C14" i="242"/>
  <c r="D14" i="242" s="1"/>
  <c r="C10" i="242"/>
  <c r="C9" i="242"/>
  <c r="C8" i="242"/>
  <c r="C4" i="242"/>
  <c r="C3" i="242"/>
  <c r="E80" i="240"/>
  <c r="E79" i="240"/>
  <c r="E78" i="240"/>
  <c r="C78" i="240"/>
  <c r="C79" i="240" s="1"/>
  <c r="E75" i="240"/>
  <c r="C75" i="240"/>
  <c r="F69" i="240"/>
  <c r="F68" i="240"/>
  <c r="F67" i="240"/>
  <c r="F66" i="240"/>
  <c r="F65" i="240"/>
  <c r="F64" i="240"/>
  <c r="F63" i="240"/>
  <c r="F62" i="240"/>
  <c r="F61" i="240"/>
  <c r="F60" i="240"/>
  <c r="F59" i="240"/>
  <c r="F58" i="240"/>
  <c r="F57" i="240"/>
  <c r="F56" i="240"/>
  <c r="F55" i="240"/>
  <c r="F54" i="240"/>
  <c r="F53" i="240"/>
  <c r="F52" i="240"/>
  <c r="F51" i="240"/>
  <c r="F50" i="240"/>
  <c r="F49" i="240"/>
  <c r="F48" i="240"/>
  <c r="F47" i="240"/>
  <c r="F46" i="240"/>
  <c r="F45" i="240"/>
  <c r="F44" i="240"/>
  <c r="F43" i="240"/>
  <c r="F42" i="240"/>
  <c r="F41" i="240"/>
  <c r="F40" i="240"/>
  <c r="F39" i="240"/>
  <c r="F38" i="240"/>
  <c r="F37" i="240"/>
  <c r="F36" i="240"/>
  <c r="F35" i="240"/>
  <c r="F34" i="240"/>
  <c r="F33" i="240"/>
  <c r="F32" i="240"/>
  <c r="F31" i="240"/>
  <c r="F30" i="240"/>
  <c r="F29" i="240"/>
  <c r="F28" i="240"/>
  <c r="F27" i="240"/>
  <c r="F26" i="240"/>
  <c r="F25" i="240"/>
  <c r="F24" i="240"/>
  <c r="F23" i="240"/>
  <c r="F22" i="240"/>
  <c r="F21" i="240"/>
  <c r="F20" i="240"/>
  <c r="F19" i="240"/>
  <c r="F18" i="240"/>
  <c r="F17" i="240"/>
  <c r="F16" i="240"/>
  <c r="F15" i="240"/>
  <c r="F14" i="240"/>
  <c r="F13" i="240"/>
  <c r="F12" i="240"/>
  <c r="F11" i="240"/>
  <c r="F10" i="240"/>
  <c r="F9" i="240"/>
  <c r="F8" i="240"/>
  <c r="F7" i="240"/>
  <c r="F6" i="240"/>
  <c r="E6" i="240"/>
  <c r="E5" i="240"/>
  <c r="C76" i="240" s="1"/>
  <c r="B53" i="239"/>
  <c r="C37" i="239"/>
  <c r="C47" i="239" s="1"/>
  <c r="C36" i="239"/>
  <c r="C46" i="239" s="1"/>
  <c r="C35" i="239"/>
  <c r="C45" i="239" s="1"/>
  <c r="C34" i="239"/>
  <c r="C44" i="239" s="1"/>
  <c r="C33" i="239"/>
  <c r="C43" i="239" s="1"/>
  <c r="C32" i="239"/>
  <c r="C42" i="239" s="1"/>
  <c r="B12" i="239"/>
  <c r="B22" i="239" s="1"/>
  <c r="H3" i="239"/>
  <c r="C66" i="238"/>
  <c r="C65" i="238"/>
  <c r="G54" i="238"/>
  <c r="G55" i="238"/>
  <c r="C16" i="238"/>
  <c r="B53" i="238"/>
  <c r="C37" i="238"/>
  <c r="C47" i="238" s="1"/>
  <c r="C36" i="238"/>
  <c r="C46" i="238" s="1"/>
  <c r="C35" i="238"/>
  <c r="C45" i="238" s="1"/>
  <c r="C34" i="238"/>
  <c r="C44" i="238" s="1"/>
  <c r="C33" i="238"/>
  <c r="C43" i="238" s="1"/>
  <c r="C32" i="238"/>
  <c r="C42" i="238" s="1"/>
  <c r="B12" i="238"/>
  <c r="B22" i="238" s="1"/>
  <c r="B11" i="238"/>
  <c r="C66" i="237"/>
  <c r="C65" i="237"/>
  <c r="B53" i="237"/>
  <c r="C37" i="237"/>
  <c r="C47" i="237" s="1"/>
  <c r="C36" i="237"/>
  <c r="C46" i="237" s="1"/>
  <c r="C35" i="237"/>
  <c r="C45" i="237" s="1"/>
  <c r="C34" i="237"/>
  <c r="C44" i="237" s="1"/>
  <c r="C33" i="237"/>
  <c r="C43" i="237" s="1"/>
  <c r="C32" i="237"/>
  <c r="C42" i="237" s="1"/>
  <c r="B12" i="237"/>
  <c r="B22" i="237" s="1"/>
  <c r="B11" i="237"/>
  <c r="C66" i="236"/>
  <c r="C65" i="236"/>
  <c r="C37" i="236"/>
  <c r="C47" i="236" s="1"/>
  <c r="C36" i="236"/>
  <c r="C46" i="236" s="1"/>
  <c r="C35" i="236"/>
  <c r="C45" i="236" s="1"/>
  <c r="C34" i="236"/>
  <c r="C44" i="236" s="1"/>
  <c r="C33" i="236"/>
  <c r="C43" i="236" s="1"/>
  <c r="C32" i="236"/>
  <c r="C42" i="236" s="1"/>
  <c r="C17" i="236"/>
  <c r="G61" i="236" s="1"/>
  <c r="B12" i="236"/>
  <c r="B22" i="236" s="1"/>
  <c r="B11" i="236"/>
  <c r="B21" i="236" s="1"/>
  <c r="B31" i="236" s="1"/>
  <c r="B41" i="236" s="1"/>
  <c r="B54" i="236" s="1"/>
  <c r="B10" i="236"/>
  <c r="I7" i="235"/>
  <c r="I8" i="235" s="1"/>
  <c r="I9" i="235" s="1"/>
  <c r="I10" i="235" s="1"/>
  <c r="Q3" i="235"/>
  <c r="B2" i="235"/>
  <c r="B4" i="235" s="1"/>
  <c r="B8" i="235" s="1"/>
  <c r="B12" i="235" s="1"/>
  <c r="B16" i="235" s="1"/>
  <c r="B20" i="235" s="1"/>
  <c r="B24" i="235" s="1"/>
  <c r="K13" i="235" s="1"/>
  <c r="Q1" i="235"/>
  <c r="J1" i="235"/>
  <c r="J6" i="235" s="1"/>
  <c r="M29" i="234"/>
  <c r="M28" i="234"/>
  <c r="K20" i="234"/>
  <c r="K21" i="234" s="1"/>
  <c r="I7" i="234"/>
  <c r="I8" i="234" s="1"/>
  <c r="I9" i="234" s="1"/>
  <c r="I10" i="234" s="1"/>
  <c r="K5" i="234"/>
  <c r="B2" i="234"/>
  <c r="B4" i="234" s="1"/>
  <c r="B8" i="234" s="1"/>
  <c r="B12" i="234" s="1"/>
  <c r="B16" i="234" s="1"/>
  <c r="B20" i="234" s="1"/>
  <c r="B24" i="234" s="1"/>
  <c r="K13" i="234" s="1"/>
  <c r="K16" i="234" s="1"/>
  <c r="J1" i="234"/>
  <c r="J6" i="234" s="1"/>
  <c r="C23" i="233"/>
  <c r="B22" i="233"/>
  <c r="C17" i="233"/>
  <c r="B16" i="233"/>
  <c r="C18" i="233" s="1"/>
  <c r="F15" i="233"/>
  <c r="B15" i="233"/>
  <c r="B21" i="233" s="1"/>
  <c r="C11" i="233"/>
  <c r="B10" i="233"/>
  <c r="C12" i="233" s="1"/>
  <c r="B9" i="233"/>
  <c r="C6" i="233"/>
  <c r="C5" i="233"/>
  <c r="G4" i="233"/>
  <c r="G5" i="233" s="1"/>
  <c r="G6" i="233" s="1"/>
  <c r="G7" i="233" s="1"/>
  <c r="G8" i="233" s="1"/>
  <c r="G9" i="233" s="1"/>
  <c r="G10" i="233" s="1"/>
  <c r="G11" i="233" s="1"/>
  <c r="G12" i="233" s="1"/>
  <c r="G13" i="233" s="1"/>
  <c r="G15" i="233" s="1"/>
  <c r="E4" i="233"/>
  <c r="E5" i="233" s="1"/>
  <c r="E6" i="233" s="1"/>
  <c r="E7" i="233" s="1"/>
  <c r="E8" i="233" s="1"/>
  <c r="E9" i="233" s="1"/>
  <c r="E10" i="233" s="1"/>
  <c r="E11" i="233" s="1"/>
  <c r="E12" i="233" s="1"/>
  <c r="E13" i="233" s="1"/>
  <c r="F14" i="233" s="1"/>
  <c r="E3" i="233"/>
  <c r="D12" i="232"/>
  <c r="D13" i="232" s="1"/>
  <c r="C12" i="232"/>
  <c r="C13" i="232" s="1"/>
  <c r="D11" i="232"/>
  <c r="C11" i="232"/>
  <c r="D10" i="232"/>
  <c r="C10" i="232"/>
  <c r="D9" i="232"/>
  <c r="C9" i="232"/>
  <c r="A3" i="231"/>
  <c r="A4" i="231" s="1"/>
  <c r="A5" i="231" s="1"/>
  <c r="A6" i="231" s="1"/>
  <c r="A7" i="231" s="1"/>
  <c r="A3" i="230"/>
  <c r="A4" i="230" s="1"/>
  <c r="A3" i="229"/>
  <c r="A4" i="229" s="1"/>
  <c r="A5" i="229" s="1"/>
  <c r="A6" i="229" s="1"/>
  <c r="A3" i="228"/>
  <c r="A4" i="228" s="1"/>
  <c r="F16" i="227"/>
  <c r="H3" i="227"/>
  <c r="H2" i="227"/>
  <c r="H1" i="227"/>
  <c r="E15" i="226"/>
  <c r="F9" i="226"/>
  <c r="G9" i="226" s="1"/>
  <c r="H9" i="226" s="1"/>
  <c r="I9" i="226" s="1"/>
  <c r="J9" i="226" s="1"/>
  <c r="G1" i="226"/>
  <c r="E15" i="225"/>
  <c r="F9" i="225"/>
  <c r="G9" i="225" s="1"/>
  <c r="H9" i="225" s="1"/>
  <c r="I9" i="225" s="1"/>
  <c r="J9" i="225" s="1"/>
  <c r="O3" i="225"/>
  <c r="G1" i="225"/>
  <c r="N13" i="224"/>
  <c r="I12" i="224"/>
  <c r="E11" i="224"/>
  <c r="O7" i="224"/>
  <c r="J7" i="224"/>
  <c r="K7" i="224" s="1"/>
  <c r="P2" i="224"/>
  <c r="K2" i="224"/>
  <c r="G2" i="224"/>
  <c r="B19" i="219"/>
  <c r="B12" i="219"/>
  <c r="B9" i="219"/>
  <c r="A3" i="219"/>
  <c r="A4" i="219" s="1"/>
  <c r="A5" i="219" s="1"/>
  <c r="A6" i="219" s="1"/>
  <c r="A7" i="219" s="1"/>
  <c r="A8" i="219" s="1"/>
  <c r="A9" i="219" s="1"/>
  <c r="A10" i="219" s="1"/>
  <c r="A11" i="219" s="1"/>
  <c r="A12" i="219" s="1"/>
  <c r="A13" i="219" s="1"/>
  <c r="A14" i="219" s="1"/>
  <c r="A15" i="219" s="1"/>
  <c r="A16" i="219" s="1"/>
  <c r="A17" i="219" s="1"/>
  <c r="A18" i="219" s="1"/>
  <c r="A19" i="219" s="1"/>
  <c r="A20" i="219" s="1"/>
  <c r="A21" i="219" s="1"/>
  <c r="A22" i="219" s="1"/>
  <c r="C22" i="217"/>
  <c r="D22" i="217" s="1"/>
  <c r="C21" i="217"/>
  <c r="D21" i="217" s="1"/>
  <c r="B19" i="217"/>
  <c r="D18" i="217"/>
  <c r="C18" i="217"/>
  <c r="C17" i="217"/>
  <c r="D17" i="217" s="1"/>
  <c r="C16" i="217"/>
  <c r="D16" i="217" s="1"/>
  <c r="C15" i="217"/>
  <c r="D15" i="217" s="1"/>
  <c r="C14" i="217"/>
  <c r="D14" i="217" s="1"/>
  <c r="B12" i="217"/>
  <c r="B9" i="217"/>
  <c r="C8" i="217"/>
  <c r="D8" i="217" s="1"/>
  <c r="D7" i="217"/>
  <c r="C7" i="217"/>
  <c r="C6" i="217"/>
  <c r="D6" i="217" s="1"/>
  <c r="C5" i="217"/>
  <c r="D5" i="217" s="1"/>
  <c r="C4" i="217"/>
  <c r="D4" i="217" s="1"/>
  <c r="C3" i="217"/>
  <c r="D3" i="217" s="1"/>
  <c r="A3" i="217"/>
  <c r="A4" i="217" s="1"/>
  <c r="A5" i="217" s="1"/>
  <c r="A6" i="217" s="1"/>
  <c r="A7" i="217" s="1"/>
  <c r="A8" i="217" s="1"/>
  <c r="A9" i="217" s="1"/>
  <c r="A10" i="217" s="1"/>
  <c r="A11" i="217" s="1"/>
  <c r="A12" i="217" s="1"/>
  <c r="A13" i="217" s="1"/>
  <c r="A14" i="217" s="1"/>
  <c r="A15" i="217" s="1"/>
  <c r="A16" i="217" s="1"/>
  <c r="A17" i="217" s="1"/>
  <c r="A18" i="217" s="1"/>
  <c r="A19" i="217" s="1"/>
  <c r="A20" i="217" s="1"/>
  <c r="A21" i="217" s="1"/>
  <c r="A22" i="217" s="1"/>
  <c r="AI12" i="210"/>
  <c r="AK7" i="210"/>
  <c r="AJ7" i="210"/>
  <c r="AJ13" i="210" s="1"/>
  <c r="AI7" i="210"/>
  <c r="AI13" i="210" s="1"/>
  <c r="Z7" i="210"/>
  <c r="AK6" i="210"/>
  <c r="AJ6" i="210"/>
  <c r="AI6" i="210"/>
  <c r="AB3" i="210"/>
  <c r="AA3" i="210"/>
  <c r="A3" i="204"/>
  <c r="A3" i="202"/>
  <c r="A3" i="201"/>
  <c r="A4" i="201" s="1"/>
  <c r="A5" i="201" s="1"/>
  <c r="A6" i="201" s="1"/>
  <c r="A7" i="201" s="1"/>
  <c r="A8" i="201" s="1"/>
  <c r="D9" i="197"/>
  <c r="D8" i="197"/>
  <c r="B8" i="197"/>
  <c r="C9" i="197" s="1"/>
  <c r="E9" i="197" s="1"/>
  <c r="D7" i="197"/>
  <c r="B7" i="197"/>
  <c r="C8" i="197" s="1"/>
  <c r="E8" i="197" s="1"/>
  <c r="D6" i="197"/>
  <c r="B6" i="197"/>
  <c r="C7" i="197" s="1"/>
  <c r="E7" i="197" s="1"/>
  <c r="D5" i="197"/>
  <c r="B5" i="197"/>
  <c r="C6" i="197" s="1"/>
  <c r="E6" i="197" s="1"/>
  <c r="D4" i="197"/>
  <c r="D10" i="197" s="1"/>
  <c r="C4" i="197"/>
  <c r="E4" i="197" s="1"/>
  <c r="B4" i="197"/>
  <c r="C5" i="197" s="1"/>
  <c r="E5" i="197" s="1"/>
  <c r="A4" i="197"/>
  <c r="A5" i="197" s="1"/>
  <c r="A6" i="197" s="1"/>
  <c r="A7" i="197" s="1"/>
  <c r="A8" i="197" s="1"/>
  <c r="A9" i="197" s="1"/>
  <c r="D9" i="196"/>
  <c r="C9" i="196"/>
  <c r="E9" i="196" s="1"/>
  <c r="D8" i="196"/>
  <c r="C8" i="196"/>
  <c r="E8" i="196" s="1"/>
  <c r="D7" i="196"/>
  <c r="C7" i="196"/>
  <c r="E7" i="196" s="1"/>
  <c r="D6" i="196"/>
  <c r="C6" i="196"/>
  <c r="E6" i="196" s="1"/>
  <c r="D5" i="196"/>
  <c r="C5" i="196"/>
  <c r="E5" i="196" s="1"/>
  <c r="D4" i="196"/>
  <c r="D10" i="196" s="1"/>
  <c r="C4" i="196"/>
  <c r="E4" i="196" s="1"/>
  <c r="E10" i="196" s="1"/>
  <c r="A4" i="196"/>
  <c r="A5" i="196" s="1"/>
  <c r="A6" i="196" s="1"/>
  <c r="A7" i="196" s="1"/>
  <c r="A8" i="196" s="1"/>
  <c r="A9" i="196" s="1"/>
  <c r="H7" i="195"/>
  <c r="G7" i="195"/>
  <c r="I7" i="195" s="1"/>
  <c r="H6" i="195"/>
  <c r="G6" i="195"/>
  <c r="I6" i="195" s="1"/>
  <c r="H5" i="195"/>
  <c r="G5" i="195"/>
  <c r="I5" i="195" s="1"/>
  <c r="H4" i="195"/>
  <c r="G4" i="195"/>
  <c r="I4" i="195" s="1"/>
  <c r="H3" i="195"/>
  <c r="G3" i="195"/>
  <c r="B7" i="193"/>
  <c r="B3" i="193"/>
  <c r="F3" i="191"/>
  <c r="F10" i="191" s="1"/>
  <c r="F11" i="191" s="1"/>
  <c r="F3" i="190"/>
  <c r="F10" i="190" s="1"/>
  <c r="F11" i="190" s="1"/>
  <c r="F3" i="189"/>
  <c r="B24" i="188"/>
  <c r="F18" i="188"/>
  <c r="C17" i="188"/>
  <c r="F15" i="188"/>
  <c r="F17" i="188" s="1"/>
  <c r="F19" i="188" s="1"/>
  <c r="F22" i="188" s="1"/>
  <c r="F14" i="188"/>
  <c r="C14" i="188"/>
  <c r="C13" i="188"/>
  <c r="C12" i="188"/>
  <c r="C18" i="188" s="1"/>
  <c r="B20" i="187"/>
  <c r="F14" i="187"/>
  <c r="C13" i="187"/>
  <c r="F11" i="187"/>
  <c r="F13" i="187" s="1"/>
  <c r="F15" i="187" s="1"/>
  <c r="F18" i="187" s="1"/>
  <c r="F10" i="187"/>
  <c r="C10" i="187"/>
  <c r="F9" i="187"/>
  <c r="C9" i="187"/>
  <c r="C8" i="187"/>
  <c r="C14" i="187" s="1"/>
  <c r="C16" i="186"/>
  <c r="C15" i="186"/>
  <c r="C14" i="186"/>
  <c r="I48" i="185"/>
  <c r="E43" i="185"/>
  <c r="C43" i="185"/>
  <c r="A43" i="185"/>
  <c r="C42" i="185"/>
  <c r="A42" i="185"/>
  <c r="C41" i="185"/>
  <c r="C40" i="185"/>
  <c r="C39" i="185"/>
  <c r="E29" i="185"/>
  <c r="C29" i="185"/>
  <c r="A29" i="185"/>
  <c r="C28" i="185"/>
  <c r="A28" i="185"/>
  <c r="C27" i="185"/>
  <c r="C26" i="185"/>
  <c r="A17" i="185"/>
  <c r="A16" i="185"/>
  <c r="A15" i="185"/>
  <c r="B14" i="185"/>
  <c r="A14" i="185"/>
  <c r="B6" i="185"/>
  <c r="B5" i="185"/>
  <c r="B4" i="185"/>
  <c r="C17" i="185" s="1"/>
  <c r="B3" i="185"/>
  <c r="C16" i="185" s="1"/>
  <c r="B2" i="185"/>
  <c r="C15" i="185" s="1"/>
  <c r="E29" i="184"/>
  <c r="C29" i="184"/>
  <c r="A29" i="184"/>
  <c r="C28" i="184"/>
  <c r="A28" i="184"/>
  <c r="C27" i="184"/>
  <c r="C26" i="184"/>
  <c r="A17" i="184"/>
  <c r="A16" i="184"/>
  <c r="A15" i="184"/>
  <c r="A14" i="184"/>
  <c r="F14" i="184" s="1"/>
  <c r="H28" i="184" s="1"/>
  <c r="F13" i="184"/>
  <c r="H26" i="184" s="1"/>
  <c r="B4" i="184"/>
  <c r="C17" i="184" s="1"/>
  <c r="B3" i="184"/>
  <c r="C16" i="184" s="1"/>
  <c r="B2" i="184"/>
  <c r="C15" i="184" s="1"/>
  <c r="C17" i="183"/>
  <c r="D17" i="183" s="1"/>
  <c r="G15" i="183" s="1"/>
  <c r="A17" i="183"/>
  <c r="B17" i="183" s="1"/>
  <c r="C16" i="183"/>
  <c r="D16" i="183" s="1"/>
  <c r="G14" i="183" s="1"/>
  <c r="A16" i="183"/>
  <c r="B16" i="183" s="1"/>
  <c r="F15" i="183"/>
  <c r="C15" i="183"/>
  <c r="D15" i="183" s="1"/>
  <c r="G13" i="183" s="1"/>
  <c r="A15" i="183"/>
  <c r="B15" i="183" s="1"/>
  <c r="F14" i="183"/>
  <c r="F13" i="183"/>
  <c r="D11" i="181"/>
  <c r="C10" i="181"/>
  <c r="C9" i="181"/>
  <c r="C8" i="181"/>
  <c r="J2" i="181"/>
  <c r="I2" i="181"/>
  <c r="H2" i="181"/>
  <c r="C19" i="181" s="1"/>
  <c r="G2" i="181"/>
  <c r="F2" i="181"/>
  <c r="G11" i="180"/>
  <c r="F11" i="180"/>
  <c r="G10" i="180"/>
  <c r="F10" i="180"/>
  <c r="G9" i="180"/>
  <c r="F9" i="180"/>
  <c r="G8" i="180"/>
  <c r="F8" i="180"/>
  <c r="G7" i="180"/>
  <c r="F7" i="180"/>
  <c r="G6" i="180"/>
  <c r="F6" i="180"/>
  <c r="G5" i="180"/>
  <c r="F5" i="180"/>
  <c r="G4" i="180"/>
  <c r="F4" i="180"/>
  <c r="G3" i="180"/>
  <c r="F3" i="180"/>
  <c r="G2" i="180"/>
  <c r="F2" i="180"/>
  <c r="G2" i="179"/>
  <c r="F2" i="179"/>
  <c r="H4" i="178"/>
  <c r="D5" i="178"/>
  <c r="E5" i="178"/>
  <c r="F5" i="178"/>
  <c r="G5" i="178" s="1"/>
  <c r="I5" i="178"/>
  <c r="K5" i="178"/>
  <c r="D6" i="178"/>
  <c r="E6" i="178"/>
  <c r="K6" i="178"/>
  <c r="D7" i="178"/>
  <c r="E7" i="178"/>
  <c r="D8" i="178"/>
  <c r="E8" i="178"/>
  <c r="K8" i="178"/>
  <c r="D9" i="178"/>
  <c r="E9" i="178"/>
  <c r="K9" i="178"/>
  <c r="D10" i="178"/>
  <c r="E10" i="178"/>
  <c r="K10" i="178"/>
  <c r="D11" i="178"/>
  <c r="E11" i="178"/>
  <c r="K11" i="178"/>
  <c r="D12" i="178"/>
  <c r="E12" i="178"/>
  <c r="K12" i="178"/>
  <c r="D13" i="178"/>
  <c r="E13" i="178"/>
  <c r="K13" i="178"/>
  <c r="D14" i="178"/>
  <c r="E14" i="178"/>
  <c r="E15" i="178"/>
  <c r="E14" i="176"/>
  <c r="E13" i="176"/>
  <c r="E12" i="176"/>
  <c r="E11" i="176"/>
  <c r="E10" i="176"/>
  <c r="E9" i="176"/>
  <c r="E8" i="176"/>
  <c r="E7" i="176"/>
  <c r="E6" i="176"/>
  <c r="E5" i="176"/>
  <c r="D5" i="176"/>
  <c r="D6" i="176" s="1"/>
  <c r="D7" i="176" s="1"/>
  <c r="D8" i="176" s="1"/>
  <c r="D9" i="176" s="1"/>
  <c r="D10" i="176" s="1"/>
  <c r="D11" i="176" s="1"/>
  <c r="D12" i="176" s="1"/>
  <c r="D13" i="176" s="1"/>
  <c r="D14" i="176" s="1"/>
  <c r="H4" i="176"/>
  <c r="D15" i="174"/>
  <c r="B6" i="174"/>
  <c r="C17" i="173"/>
  <c r="D17" i="173" s="1"/>
  <c r="C16" i="173"/>
  <c r="C15" i="173"/>
  <c r="C14" i="173"/>
  <c r="C13" i="173"/>
  <c r="C12" i="173"/>
  <c r="C11" i="173"/>
  <c r="C10" i="173"/>
  <c r="C9" i="173"/>
  <c r="C8" i="173"/>
  <c r="C7" i="173"/>
  <c r="D7" i="173" s="1"/>
  <c r="B7" i="173"/>
  <c r="B8" i="173" s="1"/>
  <c r="B9" i="173" s="1"/>
  <c r="B10" i="173" s="1"/>
  <c r="B11" i="173" s="1"/>
  <c r="B12" i="173" s="1"/>
  <c r="B13" i="173" s="1"/>
  <c r="B14" i="173" s="1"/>
  <c r="B15" i="173" s="1"/>
  <c r="B16" i="173" s="1"/>
  <c r="I7" i="167"/>
  <c r="I8" i="167" s="1"/>
  <c r="I9" i="167" s="1"/>
  <c r="I10" i="167" s="1"/>
  <c r="K5" i="167"/>
  <c r="B2" i="167"/>
  <c r="B4" i="167" s="1"/>
  <c r="B8" i="167" s="1"/>
  <c r="B12" i="167" s="1"/>
  <c r="B16" i="167" s="1"/>
  <c r="B20" i="167" s="1"/>
  <c r="B24" i="167" s="1"/>
  <c r="K13" i="167" s="1"/>
  <c r="K16" i="167" s="1"/>
  <c r="J1" i="167"/>
  <c r="J6" i="167" s="1"/>
  <c r="I6" i="166"/>
  <c r="I7" i="166" s="1"/>
  <c r="I8" i="166" s="1"/>
  <c r="I9" i="166" s="1"/>
  <c r="K5" i="166"/>
  <c r="B2" i="166"/>
  <c r="B4" i="166" s="1"/>
  <c r="J1" i="166"/>
  <c r="J6" i="166" s="1"/>
  <c r="J5" i="165"/>
  <c r="K4" i="165"/>
  <c r="B4" i="165"/>
  <c r="B6" i="165" s="1"/>
  <c r="B8" i="165" s="1"/>
  <c r="B10" i="165" s="1"/>
  <c r="B12" i="165" s="1"/>
  <c r="B14" i="165" s="1"/>
  <c r="K13" i="165" s="1"/>
  <c r="L143" i="164"/>
  <c r="L144" i="164" s="1"/>
  <c r="L145" i="164" s="1"/>
  <c r="L146" i="164" s="1"/>
  <c r="L147" i="164" s="1"/>
  <c r="L148" i="164" s="1"/>
  <c r="L149" i="164" s="1"/>
  <c r="L150" i="164" s="1"/>
  <c r="L151" i="164" s="1"/>
  <c r="L152" i="164" s="1"/>
  <c r="L153" i="164" s="1"/>
  <c r="L154" i="164" s="1"/>
  <c r="L155" i="164" s="1"/>
  <c r="L156" i="164" s="1"/>
  <c r="L157" i="164" s="1"/>
  <c r="L158" i="164" s="1"/>
  <c r="L159" i="164" s="1"/>
  <c r="L160" i="164" s="1"/>
  <c r="L161" i="164" s="1"/>
  <c r="L162" i="164" s="1"/>
  <c r="L163" i="164" s="1"/>
  <c r="L164" i="164" s="1"/>
  <c r="L165" i="164" s="1"/>
  <c r="L166" i="164" s="1"/>
  <c r="L167" i="164" s="1"/>
  <c r="L168" i="164" s="1"/>
  <c r="L169" i="164" s="1"/>
  <c r="L170" i="164" s="1"/>
  <c r="L171" i="164" s="1"/>
  <c r="L172" i="164" s="1"/>
  <c r="L173" i="164" s="1"/>
  <c r="L174" i="164" s="1"/>
  <c r="L175" i="164" s="1"/>
  <c r="L176" i="164" s="1"/>
  <c r="L177" i="164" s="1"/>
  <c r="L178" i="164" s="1"/>
  <c r="L179" i="164" s="1"/>
  <c r="L180" i="164" s="1"/>
  <c r="L181" i="164" s="1"/>
  <c r="L182" i="164" s="1"/>
  <c r="L183" i="164" s="1"/>
  <c r="L184" i="164" s="1"/>
  <c r="L185" i="164" s="1"/>
  <c r="L186" i="164" s="1"/>
  <c r="L187" i="164" s="1"/>
  <c r="L188" i="164" s="1"/>
  <c r="L189" i="164" s="1"/>
  <c r="L190" i="164" s="1"/>
  <c r="L191" i="164" s="1"/>
  <c r="L192" i="164" s="1"/>
  <c r="L193" i="164" s="1"/>
  <c r="L194" i="164" s="1"/>
  <c r="L195" i="164" s="1"/>
  <c r="L196" i="164" s="1"/>
  <c r="L197" i="164" s="1"/>
  <c r="L198" i="164" s="1"/>
  <c r="L199" i="164" s="1"/>
  <c r="L200" i="164" s="1"/>
  <c r="L201" i="164" s="1"/>
  <c r="L202" i="164" s="1"/>
  <c r="L203" i="164" s="1"/>
  <c r="L204" i="164" s="1"/>
  <c r="L205" i="164" s="1"/>
  <c r="L206" i="164" s="1"/>
  <c r="L207" i="164" s="1"/>
  <c r="L208" i="164" s="1"/>
  <c r="L209" i="164" s="1"/>
  <c r="L210" i="164" s="1"/>
  <c r="L211" i="164" s="1"/>
  <c r="L212" i="164" s="1"/>
  <c r="L213" i="164" s="1"/>
  <c r="L214" i="164" s="1"/>
  <c r="L215" i="164" s="1"/>
  <c r="L216" i="164" s="1"/>
  <c r="L217" i="164" s="1"/>
  <c r="L218" i="164" s="1"/>
  <c r="L219" i="164" s="1"/>
  <c r="L220" i="164" s="1"/>
  <c r="L221" i="164" s="1"/>
  <c r="L222" i="164" s="1"/>
  <c r="L223" i="164" s="1"/>
  <c r="L224" i="164" s="1"/>
  <c r="L225" i="164" s="1"/>
  <c r="L226" i="164" s="1"/>
  <c r="O8" i="164"/>
  <c r="C6" i="164"/>
  <c r="H6" i="163"/>
  <c r="H7" i="163" s="1"/>
  <c r="H8" i="163" s="1"/>
  <c r="H9" i="163" s="1"/>
  <c r="H10" i="163" s="1"/>
  <c r="H11" i="163" s="1"/>
  <c r="H12" i="163" s="1"/>
  <c r="H13" i="163" s="1"/>
  <c r="H14" i="163" s="1"/>
  <c r="I5" i="163"/>
  <c r="G5" i="163"/>
  <c r="G6" i="163" s="1"/>
  <c r="G7" i="163" s="1"/>
  <c r="G8" i="163" s="1"/>
  <c r="G9" i="163" s="1"/>
  <c r="G10" i="163" s="1"/>
  <c r="G11" i="163" s="1"/>
  <c r="G12" i="163" s="1"/>
  <c r="G13" i="163" s="1"/>
  <c r="G14" i="163" s="1"/>
  <c r="J4" i="163"/>
  <c r="B35" i="162"/>
  <c r="B34" i="162"/>
  <c r="B33" i="162"/>
  <c r="B32" i="162"/>
  <c r="B31" i="162"/>
  <c r="B30" i="162"/>
  <c r="B29" i="162"/>
  <c r="B28" i="162"/>
  <c r="B27" i="162"/>
  <c r="B26" i="162"/>
  <c r="B25" i="162"/>
  <c r="B24" i="162"/>
  <c r="B23" i="162"/>
  <c r="B22" i="162"/>
  <c r="B21" i="162"/>
  <c r="C17" i="162"/>
  <c r="C35" i="162" s="1"/>
  <c r="C16" i="162"/>
  <c r="C34" i="162" s="1"/>
  <c r="C15" i="162"/>
  <c r="C33" i="162" s="1"/>
  <c r="C14" i="162"/>
  <c r="C32" i="162" s="1"/>
  <c r="C13" i="162"/>
  <c r="C31" i="162" s="1"/>
  <c r="C12" i="162"/>
  <c r="C30" i="162" s="1"/>
  <c r="C11" i="162"/>
  <c r="C29" i="162" s="1"/>
  <c r="C10" i="162"/>
  <c r="C28" i="162" s="1"/>
  <c r="C9" i="162"/>
  <c r="C27" i="162" s="1"/>
  <c r="C8" i="162"/>
  <c r="C26" i="162" s="1"/>
  <c r="C7" i="162"/>
  <c r="C25" i="162" s="1"/>
  <c r="C6" i="162"/>
  <c r="C24" i="162" s="1"/>
  <c r="C5" i="162"/>
  <c r="C23" i="162" s="1"/>
  <c r="C4" i="162"/>
  <c r="C22" i="162" s="1"/>
  <c r="C3" i="162"/>
  <c r="C21" i="162" s="1"/>
  <c r="C23" i="160"/>
  <c r="B22" i="160"/>
  <c r="C17" i="160"/>
  <c r="B16" i="160"/>
  <c r="C18" i="160" s="1"/>
  <c r="B15" i="160"/>
  <c r="B21" i="160" s="1"/>
  <c r="C11" i="160"/>
  <c r="B10" i="160"/>
  <c r="C12" i="160" s="1"/>
  <c r="B9" i="160"/>
  <c r="C6" i="160"/>
  <c r="C5" i="160"/>
  <c r="D18" i="159"/>
  <c r="C18" i="159"/>
  <c r="B18" i="159"/>
  <c r="D17" i="159"/>
  <c r="C17" i="159"/>
  <c r="B17" i="159"/>
  <c r="D16" i="159"/>
  <c r="C16" i="159"/>
  <c r="B16" i="159"/>
  <c r="D15" i="159"/>
  <c r="C15" i="159"/>
  <c r="B15" i="159"/>
  <c r="D14" i="159"/>
  <c r="C14" i="159"/>
  <c r="B14" i="159"/>
  <c r="D13" i="159"/>
  <c r="C13" i="159"/>
  <c r="B13" i="159"/>
  <c r="D12" i="159"/>
  <c r="C12" i="159"/>
  <c r="B12" i="159"/>
  <c r="D11" i="159"/>
  <c r="C11" i="159"/>
  <c r="B11" i="159"/>
  <c r="D10" i="159"/>
  <c r="C10" i="159"/>
  <c r="B10" i="159"/>
  <c r="D9" i="159"/>
  <c r="C9" i="159"/>
  <c r="B9" i="159"/>
  <c r="D8" i="159"/>
  <c r="C8" i="159"/>
  <c r="B8" i="159"/>
  <c r="D7" i="159"/>
  <c r="C7" i="159"/>
  <c r="B7" i="159"/>
  <c r="D6" i="159"/>
  <c r="C6" i="159"/>
  <c r="B6" i="159"/>
  <c r="D5" i="159"/>
  <c r="C5" i="159"/>
  <c r="B5" i="159"/>
  <c r="D4" i="159"/>
  <c r="C4" i="159"/>
  <c r="B4" i="159"/>
  <c r="D3" i="159"/>
  <c r="C3" i="159"/>
  <c r="B3" i="159"/>
  <c r="I5" i="158"/>
  <c r="I6" i="158" s="1"/>
  <c r="I7" i="158" s="1"/>
  <c r="I8" i="158" s="1"/>
  <c r="I9" i="158" s="1"/>
  <c r="A5" i="158"/>
  <c r="E23" i="157"/>
  <c r="D23" i="157"/>
  <c r="C23" i="157"/>
  <c r="E22" i="157"/>
  <c r="D22" i="157"/>
  <c r="C22" i="157"/>
  <c r="E21" i="157"/>
  <c r="D21" i="157"/>
  <c r="C21" i="157"/>
  <c r="E20" i="157"/>
  <c r="D20" i="157"/>
  <c r="C20" i="157"/>
  <c r="E19" i="157"/>
  <c r="D19" i="157"/>
  <c r="C19" i="157"/>
  <c r="E18" i="157"/>
  <c r="D18" i="157"/>
  <c r="C18" i="157"/>
  <c r="B18" i="157"/>
  <c r="I5" i="157"/>
  <c r="I6" i="157" s="1"/>
  <c r="I7" i="157" s="1"/>
  <c r="I8" i="157" s="1"/>
  <c r="I9" i="157" s="1"/>
  <c r="A5" i="157"/>
  <c r="AI12" i="156"/>
  <c r="AK7" i="156"/>
  <c r="AK13" i="156" s="1"/>
  <c r="AJ7" i="156"/>
  <c r="AJ13" i="156" s="1"/>
  <c r="AI7" i="156"/>
  <c r="AI13" i="156" s="1"/>
  <c r="Z7" i="156"/>
  <c r="AK6" i="156"/>
  <c r="AC6" i="156" s="1"/>
  <c r="AJ6" i="156"/>
  <c r="AI6" i="156"/>
  <c r="AB3" i="156"/>
  <c r="AA3" i="156"/>
  <c r="B1" i="155"/>
  <c r="C25" i="155"/>
  <c r="D24" i="155"/>
  <c r="B15" i="155"/>
  <c r="C14" i="155"/>
  <c r="D14" i="155" s="1"/>
  <c r="E13" i="155"/>
  <c r="C12" i="155"/>
  <c r="C8" i="155"/>
  <c r="D12" i="153"/>
  <c r="D13" i="153" s="1"/>
  <c r="C12" i="153"/>
  <c r="C13" i="153" s="1"/>
  <c r="D11" i="153"/>
  <c r="C11" i="153"/>
  <c r="D10" i="153"/>
  <c r="C10" i="153"/>
  <c r="C9" i="153"/>
  <c r="D9" i="153" s="1"/>
  <c r="K4" i="150"/>
  <c r="N4" i="150"/>
  <c r="N3" i="150"/>
  <c r="K3" i="150" s="1"/>
  <c r="J3" i="150"/>
  <c r="F21" i="151"/>
  <c r="A4" i="151"/>
  <c r="A5" i="151" s="1"/>
  <c r="A6" i="151" s="1"/>
  <c r="A7" i="151" s="1"/>
  <c r="A8" i="151" s="1"/>
  <c r="A9" i="151" s="1"/>
  <c r="A10" i="151" s="1"/>
  <c r="A11" i="151" s="1"/>
  <c r="A12" i="151" s="1"/>
  <c r="A13" i="151" s="1"/>
  <c r="A14" i="151" s="1"/>
  <c r="A15" i="151" s="1"/>
  <c r="A16" i="151" s="1"/>
  <c r="A17" i="151" s="1"/>
  <c r="A18" i="151" s="1"/>
  <c r="C3" i="151"/>
  <c r="K2" i="151"/>
  <c r="F20" i="150"/>
  <c r="D18" i="150"/>
  <c r="C18" i="150"/>
  <c r="D17" i="150"/>
  <c r="D16" i="150"/>
  <c r="D15" i="150"/>
  <c r="D14" i="150"/>
  <c r="D13" i="150"/>
  <c r="D12" i="150"/>
  <c r="D11" i="150"/>
  <c r="D10" i="150"/>
  <c r="D9" i="150"/>
  <c r="D8" i="150"/>
  <c r="D7" i="150"/>
  <c r="D6" i="150"/>
  <c r="D5" i="150"/>
  <c r="D4" i="150"/>
  <c r="A4" i="150"/>
  <c r="A5" i="150" s="1"/>
  <c r="A6" i="150" s="1"/>
  <c r="A7" i="150" s="1"/>
  <c r="A8" i="150" s="1"/>
  <c r="A9" i="150" s="1"/>
  <c r="A10" i="150" s="1"/>
  <c r="A11" i="150" s="1"/>
  <c r="A12" i="150" s="1"/>
  <c r="A13" i="150" s="1"/>
  <c r="A14" i="150" s="1"/>
  <c r="A15" i="150" s="1"/>
  <c r="A16" i="150" s="1"/>
  <c r="A17" i="150" s="1"/>
  <c r="A18" i="150" s="1"/>
  <c r="D3" i="150"/>
  <c r="F3" i="150" s="1"/>
  <c r="R13" i="275" l="1"/>
  <c r="R12" i="275"/>
  <c r="Q13" i="275"/>
  <c r="Q12" i="275"/>
  <c r="P12" i="275"/>
  <c r="P13" i="275" s="1"/>
  <c r="O13" i="275"/>
  <c r="O12" i="275"/>
  <c r="N13" i="275"/>
  <c r="N12" i="275"/>
  <c r="M13" i="275"/>
  <c r="M12" i="275"/>
  <c r="A13" i="275"/>
  <c r="C12" i="275"/>
  <c r="F10" i="275"/>
  <c r="C8" i="275"/>
  <c r="C10" i="275"/>
  <c r="C6" i="275"/>
  <c r="C11" i="275"/>
  <c r="C5" i="275"/>
  <c r="C4" i="275"/>
  <c r="C9" i="275"/>
  <c r="C7" i="275"/>
  <c r="N13" i="274"/>
  <c r="L11" i="274"/>
  <c r="L12" i="274" s="1"/>
  <c r="M13" i="274"/>
  <c r="N11" i="274"/>
  <c r="N12" i="274" s="1"/>
  <c r="L13" i="274"/>
  <c r="K13" i="274"/>
  <c r="M11" i="274"/>
  <c r="M12" i="274" s="1"/>
  <c r="K11" i="274"/>
  <c r="K12" i="274" s="1"/>
  <c r="E27" i="274"/>
  <c r="E103" i="274"/>
  <c r="E53" i="274"/>
  <c r="E41" i="274"/>
  <c r="E84" i="274"/>
  <c r="E102" i="274"/>
  <c r="E48" i="274"/>
  <c r="E46" i="274"/>
  <c r="E69" i="274"/>
  <c r="E42" i="274"/>
  <c r="E66" i="274"/>
  <c r="E43" i="274"/>
  <c r="E63" i="274"/>
  <c r="E73" i="274"/>
  <c r="E101" i="274"/>
  <c r="E51" i="274"/>
  <c r="E49" i="274"/>
  <c r="E62" i="274"/>
  <c r="E64" i="274"/>
  <c r="E99" i="274"/>
  <c r="E7" i="274"/>
  <c r="E97" i="274"/>
  <c r="E5" i="274"/>
  <c r="E70" i="274"/>
  <c r="E65" i="274"/>
  <c r="E76" i="274"/>
  <c r="E4" i="274"/>
  <c r="E89" i="274"/>
  <c r="E37" i="274"/>
  <c r="E59" i="274"/>
  <c r="E39" i="274"/>
  <c r="E94" i="274"/>
  <c r="E34" i="274"/>
  <c r="E40" i="274"/>
  <c r="E9" i="274"/>
  <c r="E79" i="274"/>
  <c r="E50" i="274"/>
  <c r="E90" i="274"/>
  <c r="E56" i="274"/>
  <c r="E6" i="274"/>
  <c r="E67" i="274"/>
  <c r="E72" i="274"/>
  <c r="E12" i="274"/>
  <c r="E75" i="274"/>
  <c r="E25" i="274"/>
  <c r="E35" i="274"/>
  <c r="E60" i="274"/>
  <c r="E85" i="274"/>
  <c r="E24" i="274"/>
  <c r="E36" i="274"/>
  <c r="E83" i="274"/>
  <c r="E38" i="274"/>
  <c r="E23" i="274"/>
  <c r="E45" i="274"/>
  <c r="E77" i="274"/>
  <c r="E87" i="274"/>
  <c r="E22" i="274"/>
  <c r="E74" i="274"/>
  <c r="E88" i="274"/>
  <c r="E11" i="274"/>
  <c r="E21" i="274"/>
  <c r="E26" i="274"/>
  <c r="E31" i="274"/>
  <c r="E54" i="274"/>
  <c r="E32" i="274"/>
  <c r="C99" i="274"/>
  <c r="C97" i="274"/>
  <c r="C96" i="274"/>
  <c r="C9" i="274"/>
  <c r="C81" i="274"/>
  <c r="C79" i="274"/>
  <c r="C10" i="274"/>
  <c r="C74" i="274"/>
  <c r="C31" i="274"/>
  <c r="C70" i="274"/>
  <c r="C28" i="274"/>
  <c r="C65" i="274"/>
  <c r="C50" i="274"/>
  <c r="C40" i="274"/>
  <c r="C100" i="274"/>
  <c r="C35" i="274"/>
  <c r="C51" i="274"/>
  <c r="C4" i="274"/>
  <c r="C12" i="274"/>
  <c r="C41" i="274"/>
  <c r="C47" i="274"/>
  <c r="C46" i="274"/>
  <c r="C29" i="274"/>
  <c r="C39" i="274"/>
  <c r="C54" i="274"/>
  <c r="C43" i="274"/>
  <c r="C26" i="274"/>
  <c r="C48" i="274"/>
  <c r="C25" i="274"/>
  <c r="C37" i="274"/>
  <c r="C24" i="274"/>
  <c r="C52" i="274"/>
  <c r="C23" i="274"/>
  <c r="C98" i="274"/>
  <c r="C22" i="274"/>
  <c r="C68" i="274"/>
  <c r="C21" i="274"/>
  <c r="C92" i="274"/>
  <c r="C20" i="274"/>
  <c r="C91" i="274"/>
  <c r="C19" i="274"/>
  <c r="C63" i="274"/>
  <c r="C18" i="274"/>
  <c r="C88" i="274"/>
  <c r="C17" i="274"/>
  <c r="C27" i="274"/>
  <c r="C69" i="274"/>
  <c r="C71" i="274"/>
  <c r="C87" i="274"/>
  <c r="C8" i="274"/>
  <c r="C7" i="274"/>
  <c r="C86" i="274"/>
  <c r="C33" i="274"/>
  <c r="C85" i="274"/>
  <c r="C73" i="274"/>
  <c r="C77" i="274"/>
  <c r="C53" i="274"/>
  <c r="C82" i="274"/>
  <c r="C67" i="274"/>
  <c r="C80" i="274"/>
  <c r="C13" i="274"/>
  <c r="C59" i="274"/>
  <c r="C83" i="274"/>
  <c r="C75" i="274"/>
  <c r="C56" i="274"/>
  <c r="C6" i="274"/>
  <c r="C72" i="274"/>
  <c r="C58" i="274"/>
  <c r="C55" i="274"/>
  <c r="C64" i="274"/>
  <c r="C93" i="274"/>
  <c r="C94" i="274"/>
  <c r="B104" i="274"/>
  <c r="B103" i="274"/>
  <c r="B102" i="274"/>
  <c r="B85" i="274"/>
  <c r="B75" i="274"/>
  <c r="B72" i="274"/>
  <c r="B68" i="274"/>
  <c r="B63" i="274"/>
  <c r="B38" i="274"/>
  <c r="B6" i="274"/>
  <c r="B51" i="274"/>
  <c r="B35" i="274"/>
  <c r="B34" i="274"/>
  <c r="B12" i="274"/>
  <c r="B10" i="274"/>
  <c r="B8" i="274"/>
  <c r="B26" i="274"/>
  <c r="B25" i="274"/>
  <c r="B24" i="274"/>
  <c r="B23" i="274"/>
  <c r="B22" i="274"/>
  <c r="B21" i="274"/>
  <c r="B20" i="274"/>
  <c r="B19" i="274"/>
  <c r="B18" i="274"/>
  <c r="B9" i="274"/>
  <c r="B43" i="274"/>
  <c r="B90" i="274"/>
  <c r="B86" i="274"/>
  <c r="B57" i="274"/>
  <c r="B50" i="274"/>
  <c r="B54" i="274"/>
  <c r="B77" i="274"/>
  <c r="B58" i="274"/>
  <c r="B29" i="274"/>
  <c r="B37" i="274"/>
  <c r="B70" i="274"/>
  <c r="B45" i="274"/>
  <c r="L11" i="273"/>
  <c r="N11" i="273"/>
  <c r="M11" i="273"/>
  <c r="K11" i="273"/>
  <c r="A6" i="273"/>
  <c r="K11" i="272"/>
  <c r="K12" i="272" s="1"/>
  <c r="L11" i="272"/>
  <c r="M11" i="272"/>
  <c r="M12" i="272" s="1"/>
  <c r="M13" i="272"/>
  <c r="N11" i="272"/>
  <c r="K13" i="272"/>
  <c r="A6" i="272"/>
  <c r="H17" i="270"/>
  <c r="G10" i="270"/>
  <c r="H4" i="270"/>
  <c r="H6" i="270"/>
  <c r="H17" i="269"/>
  <c r="G10" i="269"/>
  <c r="H4" i="269"/>
  <c r="H6" i="269"/>
  <c r="H23" i="267"/>
  <c r="H11" i="267"/>
  <c r="R5" i="267"/>
  <c r="Q5" i="267"/>
  <c r="H10" i="267"/>
  <c r="G22" i="267"/>
  <c r="H5" i="267"/>
  <c r="G16" i="267"/>
  <c r="N12" i="266"/>
  <c r="N13" i="266"/>
  <c r="L12" i="266"/>
  <c r="L13" i="266" s="1"/>
  <c r="K12" i="266"/>
  <c r="K13" i="266"/>
  <c r="M12" i="266"/>
  <c r="M13" i="266"/>
  <c r="G5" i="266"/>
  <c r="A6" i="266"/>
  <c r="D5" i="266"/>
  <c r="D6" i="266"/>
  <c r="D4" i="266"/>
  <c r="B6" i="266"/>
  <c r="B5" i="266"/>
  <c r="B4" i="266"/>
  <c r="N13" i="265"/>
  <c r="N12" i="265"/>
  <c r="M12" i="265"/>
  <c r="M13" i="265" s="1"/>
  <c r="K14" i="265" s="1"/>
  <c r="L13" i="265"/>
  <c r="L12" i="265"/>
  <c r="K13" i="265"/>
  <c r="K12" i="265"/>
  <c r="A6" i="265"/>
  <c r="G5" i="265"/>
  <c r="AG4" i="265"/>
  <c r="AG6" i="265"/>
  <c r="E6" i="265"/>
  <c r="E5" i="265"/>
  <c r="E4" i="265"/>
  <c r="D4" i="265"/>
  <c r="D6" i="265"/>
  <c r="D5" i="265"/>
  <c r="C6" i="265"/>
  <c r="C5" i="265"/>
  <c r="C4" i="265"/>
  <c r="B4" i="265"/>
  <c r="F4" i="265" s="1"/>
  <c r="H4" i="265" s="1"/>
  <c r="B6" i="265"/>
  <c r="F6" i="265" s="1"/>
  <c r="B5" i="265"/>
  <c r="N12" i="264"/>
  <c r="N13" i="264"/>
  <c r="K12" i="264"/>
  <c r="K13" i="264"/>
  <c r="K14" i="264" s="1"/>
  <c r="M12" i="264"/>
  <c r="M13" i="264"/>
  <c r="G5" i="264"/>
  <c r="A6" i="264"/>
  <c r="E4" i="264"/>
  <c r="E6" i="264"/>
  <c r="E5" i="264"/>
  <c r="D6" i="264"/>
  <c r="D4" i="264"/>
  <c r="D5" i="264"/>
  <c r="C4" i="264"/>
  <c r="C6" i="264"/>
  <c r="C5" i="264"/>
  <c r="B5" i="264"/>
  <c r="B4" i="264"/>
  <c r="F4" i="264" s="1"/>
  <c r="H4" i="264" s="1"/>
  <c r="B6" i="264"/>
  <c r="F6" i="264" s="1"/>
  <c r="F3" i="263"/>
  <c r="F4" i="263" s="1"/>
  <c r="F5" i="263" s="1"/>
  <c r="B9" i="261"/>
  <c r="B11" i="261"/>
  <c r="AK15" i="260"/>
  <c r="AK14" i="260"/>
  <c r="AJ14" i="260"/>
  <c r="AJ15" i="260"/>
  <c r="AI15" i="260"/>
  <c r="AI14" i="260"/>
  <c r="Z8" i="260"/>
  <c r="AC7" i="260"/>
  <c r="AB8" i="260"/>
  <c r="AB7" i="260"/>
  <c r="AB6" i="260"/>
  <c r="AA8" i="260"/>
  <c r="AA6" i="260"/>
  <c r="AA7" i="260"/>
  <c r="C8" i="259"/>
  <c r="C7" i="259"/>
  <c r="C9" i="259" s="1"/>
  <c r="G30" i="258"/>
  <c r="E14" i="258"/>
  <c r="E15" i="258" s="1"/>
  <c r="D14" i="258"/>
  <c r="D15" i="258" s="1"/>
  <c r="E16" i="258" s="1"/>
  <c r="F9" i="257"/>
  <c r="F5" i="257" s="1"/>
  <c r="B11" i="254"/>
  <c r="B10" i="254"/>
  <c r="B8" i="254"/>
  <c r="L11" i="253"/>
  <c r="K11" i="253"/>
  <c r="N11" i="253"/>
  <c r="N12" i="253" s="1"/>
  <c r="M11" i="253"/>
  <c r="M12" i="253" s="1"/>
  <c r="N13" i="253"/>
  <c r="M13" i="253"/>
  <c r="A16" i="253"/>
  <c r="E15" i="253"/>
  <c r="D15" i="253"/>
  <c r="E6" i="253"/>
  <c r="E5" i="253"/>
  <c r="E4" i="253"/>
  <c r="E14" i="253"/>
  <c r="E13" i="253"/>
  <c r="E12" i="253"/>
  <c r="E11" i="253"/>
  <c r="E10" i="253"/>
  <c r="E9" i="253"/>
  <c r="E8" i="253"/>
  <c r="E7" i="253"/>
  <c r="D14" i="253"/>
  <c r="D13" i="253"/>
  <c r="D12" i="253"/>
  <c r="D11" i="253"/>
  <c r="D10" i="253"/>
  <c r="D9" i="253"/>
  <c r="D6" i="253"/>
  <c r="D4" i="253"/>
  <c r="D8" i="253"/>
  <c r="D7" i="253"/>
  <c r="D5" i="253"/>
  <c r="O11" i="252"/>
  <c r="O12" i="252" s="1"/>
  <c r="O13" i="252"/>
  <c r="P9" i="252"/>
  <c r="A6" i="252"/>
  <c r="B6" i="252"/>
  <c r="B5" i="252"/>
  <c r="B4" i="252"/>
  <c r="P9" i="251"/>
  <c r="O11" i="251"/>
  <c r="P11" i="251"/>
  <c r="P12" i="251" s="1"/>
  <c r="Q5" i="251"/>
  <c r="A6" i="251"/>
  <c r="B4" i="250"/>
  <c r="B9" i="250"/>
  <c r="B10" i="250"/>
  <c r="B11" i="250"/>
  <c r="B8" i="250"/>
  <c r="B15" i="250"/>
  <c r="F15" i="250" s="1"/>
  <c r="B5" i="250"/>
  <c r="B12" i="250"/>
  <c r="B14" i="250"/>
  <c r="B7" i="250"/>
  <c r="C15" i="250"/>
  <c r="C8" i="250"/>
  <c r="C9" i="250"/>
  <c r="C10" i="250"/>
  <c r="C12" i="250"/>
  <c r="C4" i="250"/>
  <c r="C13" i="250"/>
  <c r="C11" i="250"/>
  <c r="C7" i="250"/>
  <c r="C14" i="250"/>
  <c r="C5" i="250"/>
  <c r="C6" i="250"/>
  <c r="D7" i="250"/>
  <c r="D8" i="250"/>
  <c r="D11" i="250"/>
  <c r="D4" i="250"/>
  <c r="D13" i="250"/>
  <c r="D14" i="250"/>
  <c r="D6" i="250"/>
  <c r="D9" i="250"/>
  <c r="D10" i="250"/>
  <c r="D5" i="250"/>
  <c r="D12" i="250"/>
  <c r="E5" i="250"/>
  <c r="E12" i="250"/>
  <c r="E6" i="250"/>
  <c r="E9" i="250"/>
  <c r="E8" i="250"/>
  <c r="E13" i="250"/>
  <c r="E4" i="250"/>
  <c r="E10" i="250"/>
  <c r="E7" i="250"/>
  <c r="E14" i="250"/>
  <c r="E11" i="250"/>
  <c r="B32" i="250"/>
  <c r="C32" i="250"/>
  <c r="A84" i="250"/>
  <c r="E83" i="250"/>
  <c r="D83" i="250"/>
  <c r="C83" i="250"/>
  <c r="B83" i="250"/>
  <c r="F83" i="250" s="1"/>
  <c r="L11" i="249"/>
  <c r="L12" i="249" s="1"/>
  <c r="M11" i="249"/>
  <c r="M12" i="249" s="1"/>
  <c r="N11" i="249"/>
  <c r="N12" i="249" s="1"/>
  <c r="M13" i="249"/>
  <c r="L13" i="249"/>
  <c r="K11" i="249"/>
  <c r="N13" i="249"/>
  <c r="E78" i="249"/>
  <c r="E11" i="249"/>
  <c r="E36" i="249"/>
  <c r="E98" i="249"/>
  <c r="E42" i="249"/>
  <c r="E97" i="249"/>
  <c r="E66" i="249"/>
  <c r="E10" i="249"/>
  <c r="E44" i="249"/>
  <c r="E86" i="249"/>
  <c r="E9" i="249"/>
  <c r="E95" i="249"/>
  <c r="E63" i="249"/>
  <c r="E8" i="249"/>
  <c r="E43" i="249"/>
  <c r="E65" i="249"/>
  <c r="E4" i="249"/>
  <c r="E77" i="249"/>
  <c r="E91" i="249"/>
  <c r="E92" i="249"/>
  <c r="E72" i="249"/>
  <c r="E89" i="249"/>
  <c r="E29" i="249"/>
  <c r="E6" i="249"/>
  <c r="E84" i="249"/>
  <c r="E99" i="249"/>
  <c r="E34" i="249"/>
  <c r="E79" i="249"/>
  <c r="E76" i="249"/>
  <c r="E80" i="249"/>
  <c r="E74" i="249"/>
  <c r="E62" i="249"/>
  <c r="E59" i="249"/>
  <c r="E55" i="249"/>
  <c r="E56" i="249"/>
  <c r="E71" i="249"/>
  <c r="E41" i="249"/>
  <c r="E38" i="249"/>
  <c r="E7" i="249"/>
  <c r="E5" i="249"/>
  <c r="E104" i="249"/>
  <c r="E32" i="249"/>
  <c r="E94" i="249"/>
  <c r="E69" i="249"/>
  <c r="E82" i="249"/>
  <c r="E83" i="249"/>
  <c r="E90" i="249"/>
  <c r="E88" i="249"/>
  <c r="E25" i="249"/>
  <c r="E85" i="249"/>
  <c r="E81" i="249"/>
  <c r="E93" i="249"/>
  <c r="E24" i="249"/>
  <c r="E61" i="249"/>
  <c r="E58" i="249"/>
  <c r="E26" i="249"/>
  <c r="E23" i="249"/>
  <c r="E60" i="249"/>
  <c r="E70" i="249"/>
  <c r="E22" i="249"/>
  <c r="E57" i="249"/>
  <c r="E50" i="249"/>
  <c r="E35" i="249"/>
  <c r="E21" i="249"/>
  <c r="E30" i="249"/>
  <c r="E75" i="249"/>
  <c r="E37" i="249"/>
  <c r="E20" i="249"/>
  <c r="E19" i="249"/>
  <c r="E54" i="249"/>
  <c r="E40" i="249"/>
  <c r="E18" i="249"/>
  <c r="E53" i="249"/>
  <c r="E17" i="249"/>
  <c r="E52" i="249"/>
  <c r="E16" i="249"/>
  <c r="E28" i="249"/>
  <c r="E87" i="249"/>
  <c r="E45" i="249"/>
  <c r="E15" i="249"/>
  <c r="E49" i="249"/>
  <c r="D103" i="249"/>
  <c r="D88" i="249"/>
  <c r="D102" i="249"/>
  <c r="D87" i="249"/>
  <c r="D101" i="249"/>
  <c r="D96" i="249"/>
  <c r="D36" i="249"/>
  <c r="D80" i="249"/>
  <c r="D38" i="249"/>
  <c r="D40" i="249"/>
  <c r="D41" i="249"/>
  <c r="D92" i="249"/>
  <c r="D74" i="249"/>
  <c r="D71" i="249"/>
  <c r="D85" i="249"/>
  <c r="D43" i="249"/>
  <c r="D82" i="249"/>
  <c r="D48" i="249"/>
  <c r="D51" i="249"/>
  <c r="D52" i="249"/>
  <c r="D69" i="249"/>
  <c r="D59" i="249"/>
  <c r="D70" i="249"/>
  <c r="D67" i="249"/>
  <c r="D68" i="249"/>
  <c r="D64" i="249"/>
  <c r="D63" i="249"/>
  <c r="D78" i="249"/>
  <c r="D49" i="249"/>
  <c r="D79" i="249"/>
  <c r="D30" i="249"/>
  <c r="D84" i="249"/>
  <c r="D89" i="249"/>
  <c r="D25" i="249"/>
  <c r="D61" i="249"/>
  <c r="D24" i="249"/>
  <c r="D23" i="249"/>
  <c r="D22" i="249"/>
  <c r="D57" i="249"/>
  <c r="D21" i="249"/>
  <c r="D4" i="249"/>
  <c r="D54" i="249"/>
  <c r="D26" i="249"/>
  <c r="D19" i="249"/>
  <c r="D39" i="249"/>
  <c r="D83" i="249"/>
  <c r="D81" i="249"/>
  <c r="D76" i="249"/>
  <c r="D16" i="249"/>
  <c r="D75" i="249"/>
  <c r="D45" i="249"/>
  <c r="D72" i="249"/>
  <c r="D11" i="249"/>
  <c r="D17" i="249"/>
  <c r="D56" i="249"/>
  <c r="D55" i="249"/>
  <c r="D58" i="249"/>
  <c r="D12" i="249"/>
  <c r="D46" i="249"/>
  <c r="D37" i="249"/>
  <c r="D33" i="249"/>
  <c r="D32" i="249"/>
  <c r="D90" i="249"/>
  <c r="D5" i="249"/>
  <c r="C67" i="249"/>
  <c r="C59" i="249"/>
  <c r="C58" i="249"/>
  <c r="C53" i="249"/>
  <c r="C52" i="249"/>
  <c r="C48" i="249"/>
  <c r="C43" i="249"/>
  <c r="C39" i="249"/>
  <c r="C36" i="249"/>
  <c r="C7" i="249"/>
  <c r="C5" i="249"/>
  <c r="C4" i="249"/>
  <c r="C81" i="249"/>
  <c r="C75" i="249"/>
  <c r="C71" i="249"/>
  <c r="C69" i="249"/>
  <c r="C68" i="249"/>
  <c r="C62" i="249"/>
  <c r="C61" i="249"/>
  <c r="C57" i="249"/>
  <c r="C54" i="249"/>
  <c r="C49" i="249"/>
  <c r="C32" i="249"/>
  <c r="C31" i="249"/>
  <c r="C103" i="249"/>
  <c r="C102" i="249"/>
  <c r="C27" i="249"/>
  <c r="C100" i="249"/>
  <c r="C99" i="249"/>
  <c r="C98" i="249"/>
  <c r="C97" i="249"/>
  <c r="C96" i="249"/>
  <c r="C80" i="249"/>
  <c r="C95" i="249"/>
  <c r="C77" i="249"/>
  <c r="C92" i="249"/>
  <c r="C91" i="249"/>
  <c r="C90" i="249"/>
  <c r="C89" i="249"/>
  <c r="C64" i="249"/>
  <c r="C83" i="249"/>
  <c r="C78" i="249"/>
  <c r="C65" i="249"/>
  <c r="C25" i="249"/>
  <c r="C24" i="249"/>
  <c r="C23" i="249"/>
  <c r="C22" i="249"/>
  <c r="C21" i="249"/>
  <c r="C20" i="249"/>
  <c r="C19" i="249"/>
  <c r="C18" i="249"/>
  <c r="C104" i="249"/>
  <c r="C17" i="249"/>
  <c r="C101" i="249"/>
  <c r="C16" i="249"/>
  <c r="C15" i="249"/>
  <c r="C14" i="249"/>
  <c r="C13" i="249"/>
  <c r="C12" i="249"/>
  <c r="C11" i="249"/>
  <c r="C10" i="249"/>
  <c r="C9" i="249"/>
  <c r="C8" i="249"/>
  <c r="C94" i="249"/>
  <c r="C87" i="249"/>
  <c r="C93" i="249"/>
  <c r="C85" i="249"/>
  <c r="C82" i="249"/>
  <c r="C70" i="249"/>
  <c r="C88" i="249"/>
  <c r="C86" i="249"/>
  <c r="C66" i="249"/>
  <c r="C63" i="249"/>
  <c r="C50" i="249"/>
  <c r="C76" i="249"/>
  <c r="C47" i="249"/>
  <c r="C72" i="249"/>
  <c r="C45" i="249"/>
  <c r="C44" i="249"/>
  <c r="C41" i="249"/>
  <c r="C40" i="249"/>
  <c r="C37" i="249"/>
  <c r="C30" i="249"/>
  <c r="C56" i="249"/>
  <c r="C55" i="249"/>
  <c r="C51" i="249"/>
  <c r="C29" i="249"/>
  <c r="C42" i="249"/>
  <c r="C38" i="249"/>
  <c r="C26" i="249"/>
  <c r="C35" i="249"/>
  <c r="C84" i="249"/>
  <c r="C79" i="249"/>
  <c r="C74" i="249"/>
  <c r="C73" i="249"/>
  <c r="C6" i="249"/>
  <c r="L11" i="248"/>
  <c r="N11" i="248"/>
  <c r="M11" i="248"/>
  <c r="K11" i="248"/>
  <c r="C7" i="247"/>
  <c r="A8" i="247"/>
  <c r="C8" i="247" s="1"/>
  <c r="C6" i="246"/>
  <c r="A7" i="246"/>
  <c r="A8" i="246" s="1"/>
  <c r="C8" i="246" s="1"/>
  <c r="A5" i="245"/>
  <c r="A6" i="245" s="1"/>
  <c r="C4" i="245"/>
  <c r="C4" i="244"/>
  <c r="A5" i="244"/>
  <c r="A6" i="244" s="1"/>
  <c r="D6" i="240"/>
  <c r="E76" i="240"/>
  <c r="E77" i="240" s="1"/>
  <c r="E7" i="240"/>
  <c r="E8" i="240" s="1"/>
  <c r="E9" i="240" s="1"/>
  <c r="E10" i="240" s="1"/>
  <c r="E11" i="240" s="1"/>
  <c r="E12" i="240" s="1"/>
  <c r="E13" i="240" s="1"/>
  <c r="E14" i="240" s="1"/>
  <c r="E15" i="240" s="1"/>
  <c r="E16" i="240" s="1"/>
  <c r="E17" i="240" s="1"/>
  <c r="E18" i="240" s="1"/>
  <c r="E19" i="240" s="1"/>
  <c r="E20" i="240" s="1"/>
  <c r="E21" i="240" s="1"/>
  <c r="E22" i="240" s="1"/>
  <c r="E23" i="240" s="1"/>
  <c r="E24" i="240" s="1"/>
  <c r="E25" i="240" s="1"/>
  <c r="E26" i="240" s="1"/>
  <c r="E27" i="240" s="1"/>
  <c r="E28" i="240" s="1"/>
  <c r="E29" i="240" s="1"/>
  <c r="E30" i="240" s="1"/>
  <c r="E31" i="240" s="1"/>
  <c r="E32" i="240" s="1"/>
  <c r="E33" i="240" s="1"/>
  <c r="E34" i="240" s="1"/>
  <c r="E35" i="240" s="1"/>
  <c r="E36" i="240" s="1"/>
  <c r="E37" i="240" s="1"/>
  <c r="E38" i="240" s="1"/>
  <c r="E39" i="240" s="1"/>
  <c r="E40" i="240" s="1"/>
  <c r="E41" i="240" s="1"/>
  <c r="E42" i="240" s="1"/>
  <c r="E43" i="240" s="1"/>
  <c r="E44" i="240" s="1"/>
  <c r="E45" i="240" s="1"/>
  <c r="E46" i="240" s="1"/>
  <c r="E47" i="240" s="1"/>
  <c r="E48" i="240" s="1"/>
  <c r="E49" i="240" s="1"/>
  <c r="E50" i="240" s="1"/>
  <c r="E51" i="240" s="1"/>
  <c r="E52" i="240" s="1"/>
  <c r="E53" i="240" s="1"/>
  <c r="E54" i="240" s="1"/>
  <c r="E55" i="240" s="1"/>
  <c r="E56" i="240" s="1"/>
  <c r="E57" i="240" s="1"/>
  <c r="E58" i="240" s="1"/>
  <c r="E59" i="240" s="1"/>
  <c r="E60" i="240" s="1"/>
  <c r="E61" i="240" s="1"/>
  <c r="E62" i="240" s="1"/>
  <c r="E63" i="240" s="1"/>
  <c r="E64" i="240" s="1"/>
  <c r="E65" i="240" s="1"/>
  <c r="E66" i="240" s="1"/>
  <c r="E67" i="240" s="1"/>
  <c r="E68" i="240" s="1"/>
  <c r="E69" i="240" s="1"/>
  <c r="C77" i="240"/>
  <c r="C80" i="240" s="1"/>
  <c r="D47" i="239"/>
  <c r="C60" i="239"/>
  <c r="C59" i="239"/>
  <c r="D46" i="239"/>
  <c r="D45" i="239"/>
  <c r="C58" i="239"/>
  <c r="D44" i="239"/>
  <c r="C57" i="239"/>
  <c r="D43" i="239"/>
  <c r="C56" i="239"/>
  <c r="D42" i="239"/>
  <c r="D48" i="239" s="1"/>
  <c r="C55" i="239"/>
  <c r="B32" i="239"/>
  <c r="B42" i="239" s="1"/>
  <c r="B55" i="239" s="1"/>
  <c r="B23" i="239"/>
  <c r="I3" i="239"/>
  <c r="H4" i="239"/>
  <c r="D47" i="238"/>
  <c r="C60" i="238"/>
  <c r="D46" i="238"/>
  <c r="C59" i="238"/>
  <c r="D45" i="238"/>
  <c r="C58" i="238"/>
  <c r="C57" i="238"/>
  <c r="D44" i="238"/>
  <c r="D43" i="238"/>
  <c r="C56" i="238"/>
  <c r="D42" i="238"/>
  <c r="D48" i="238" s="1"/>
  <c r="C55" i="238"/>
  <c r="B32" i="238"/>
  <c r="B42" i="238" s="1"/>
  <c r="B55" i="238" s="1"/>
  <c r="B23" i="238"/>
  <c r="C17" i="238"/>
  <c r="G61" i="238" s="1"/>
  <c r="B21" i="238"/>
  <c r="B31" i="238" s="1"/>
  <c r="B41" i="238" s="1"/>
  <c r="B54" i="238" s="1"/>
  <c r="D47" i="237"/>
  <c r="C60" i="237"/>
  <c r="C59" i="237"/>
  <c r="D46" i="237"/>
  <c r="D45" i="237"/>
  <c r="C58" i="237"/>
  <c r="C57" i="237"/>
  <c r="D44" i="237"/>
  <c r="D43" i="237"/>
  <c r="C56" i="237"/>
  <c r="C55" i="237"/>
  <c r="D42" i="237"/>
  <c r="D48" i="237" s="1"/>
  <c r="B23" i="237"/>
  <c r="B32" i="237"/>
  <c r="B42" i="237" s="1"/>
  <c r="B55" i="237" s="1"/>
  <c r="B21" i="237"/>
  <c r="B31" i="237" s="1"/>
  <c r="B41" i="237" s="1"/>
  <c r="B54" i="237" s="1"/>
  <c r="C16" i="237"/>
  <c r="C17" i="237" s="1"/>
  <c r="G61" i="237" s="1"/>
  <c r="C60" i="236"/>
  <c r="D60" i="236" s="1"/>
  <c r="D47" i="236"/>
  <c r="D46" i="236"/>
  <c r="C59" i="236"/>
  <c r="D59" i="236" s="1"/>
  <c r="C58" i="236"/>
  <c r="D58" i="236" s="1"/>
  <c r="D45" i="236"/>
  <c r="C57" i="236"/>
  <c r="D57" i="236" s="1"/>
  <c r="D44" i="236"/>
  <c r="C56" i="236"/>
  <c r="D56" i="236" s="1"/>
  <c r="D43" i="236"/>
  <c r="C55" i="236"/>
  <c r="D55" i="236" s="1"/>
  <c r="D61" i="236" s="1"/>
  <c r="C6" i="236" s="1"/>
  <c r="D42" i="236"/>
  <c r="D48" i="236" s="1"/>
  <c r="B32" i="236"/>
  <c r="B42" i="236" s="1"/>
  <c r="B55" i="236" s="1"/>
  <c r="B23" i="236"/>
  <c r="J7" i="235"/>
  <c r="K6" i="235"/>
  <c r="Q2" i="235"/>
  <c r="J5" i="235" s="1"/>
  <c r="K5" i="235" s="1"/>
  <c r="K6" i="234"/>
  <c r="J7" i="234"/>
  <c r="C24" i="233"/>
  <c r="A8" i="231"/>
  <c r="A5" i="230"/>
  <c r="A6" i="230" s="1"/>
  <c r="A7" i="229"/>
  <c r="A8" i="229" s="1"/>
  <c r="A5" i="228"/>
  <c r="A6" i="228" s="1"/>
  <c r="H16" i="227"/>
  <c r="G9" i="227"/>
  <c r="H4" i="227"/>
  <c r="G2" i="226"/>
  <c r="O4" i="225"/>
  <c r="O5" i="225" s="1"/>
  <c r="G2" i="225"/>
  <c r="P7" i="224"/>
  <c r="Q7" i="224" s="1"/>
  <c r="P3" i="224"/>
  <c r="K3" i="224"/>
  <c r="G3" i="224"/>
  <c r="G5" i="224"/>
  <c r="B15" i="184"/>
  <c r="D15" i="184" s="1"/>
  <c r="G13" i="184" s="1"/>
  <c r="I26" i="184" s="1"/>
  <c r="I25" i="184" s="1"/>
  <c r="B16" i="185"/>
  <c r="D16" i="185" s="1"/>
  <c r="G14" i="185" s="1"/>
  <c r="I28" i="185" s="1"/>
  <c r="I43" i="185" s="1"/>
  <c r="B16" i="184"/>
  <c r="D16" i="184" s="1"/>
  <c r="G14" i="184" s="1"/>
  <c r="I28" i="184" s="1"/>
  <c r="B15" i="185"/>
  <c r="D15" i="185" s="1"/>
  <c r="G13" i="185" s="1"/>
  <c r="B17" i="185"/>
  <c r="D17" i="185" s="1"/>
  <c r="G15" i="185" s="1"/>
  <c r="I29" i="185" s="1"/>
  <c r="I45" i="185" s="1"/>
  <c r="B17" i="184"/>
  <c r="D17" i="184" s="1"/>
  <c r="G15" i="184" s="1"/>
  <c r="I29" i="184" s="1"/>
  <c r="B10" i="219"/>
  <c r="C19" i="217"/>
  <c r="D19" i="217" s="1"/>
  <c r="C20" i="217"/>
  <c r="D20" i="217" s="1"/>
  <c r="C13" i="217"/>
  <c r="D13" i="217" s="1"/>
  <c r="C12" i="217"/>
  <c r="D12" i="217" s="1"/>
  <c r="C9" i="217"/>
  <c r="D9" i="217" s="1"/>
  <c r="B10" i="217"/>
  <c r="AK13" i="210"/>
  <c r="AC6" i="210"/>
  <c r="AJ14" i="210"/>
  <c r="AJ15" i="210"/>
  <c r="AI14" i="210"/>
  <c r="AI15" i="210"/>
  <c r="AC7" i="210"/>
  <c r="Z8" i="210"/>
  <c r="AB8" i="210" s="1"/>
  <c r="AB6" i="210"/>
  <c r="AB7" i="210"/>
  <c r="A4" i="204"/>
  <c r="C3" i="204"/>
  <c r="A4" i="202"/>
  <c r="C3" i="202"/>
  <c r="E10" i="197"/>
  <c r="I10" i="195"/>
  <c r="I3" i="195"/>
  <c r="C19" i="188"/>
  <c r="C22" i="188" s="1"/>
  <c r="C15" i="187"/>
  <c r="C18" i="187" s="1"/>
  <c r="A41" i="185"/>
  <c r="A27" i="185"/>
  <c r="F14" i="185"/>
  <c r="H28" i="185" s="1"/>
  <c r="H43" i="185" s="1"/>
  <c r="A38" i="185"/>
  <c r="F15" i="185"/>
  <c r="H29" i="185" s="1"/>
  <c r="H45" i="185" s="1"/>
  <c r="F13" i="185"/>
  <c r="H26" i="185" s="1"/>
  <c r="H41" i="185" s="1"/>
  <c r="A25" i="185"/>
  <c r="A27" i="184"/>
  <c r="A25" i="184"/>
  <c r="F15" i="184"/>
  <c r="H29" i="184" s="1"/>
  <c r="D12" i="181"/>
  <c r="B10" i="181"/>
  <c r="C11" i="181"/>
  <c r="C12" i="181" s="1"/>
  <c r="C13" i="181" s="1"/>
  <c r="C14" i="181" s="1"/>
  <c r="H5" i="178"/>
  <c r="J5" i="178"/>
  <c r="K7" i="178"/>
  <c r="I14" i="176"/>
  <c r="I13" i="176"/>
  <c r="I12" i="176"/>
  <c r="I11" i="176"/>
  <c r="I10" i="176"/>
  <c r="I9" i="176"/>
  <c r="I8" i="176"/>
  <c r="I7" i="176"/>
  <c r="I6" i="176"/>
  <c r="I5" i="176"/>
  <c r="I15" i="176" s="1"/>
  <c r="E15" i="176"/>
  <c r="F5" i="176"/>
  <c r="G5" i="176" s="1"/>
  <c r="H5" i="176"/>
  <c r="B7" i="174"/>
  <c r="D6" i="174"/>
  <c r="D16" i="173"/>
  <c r="D15" i="173"/>
  <c r="D14" i="173"/>
  <c r="D13" i="173"/>
  <c r="D12" i="173"/>
  <c r="D11" i="173"/>
  <c r="D10" i="173"/>
  <c r="D9" i="173"/>
  <c r="D8" i="173"/>
  <c r="D18" i="173" s="1"/>
  <c r="J7" i="167"/>
  <c r="K6" i="167"/>
  <c r="B6" i="166"/>
  <c r="B8" i="166" s="1"/>
  <c r="B10" i="166" s="1"/>
  <c r="B12" i="166" s="1"/>
  <c r="K13" i="166" s="1"/>
  <c r="J7" i="166"/>
  <c r="K6" i="166"/>
  <c r="J6" i="165"/>
  <c r="K5" i="165"/>
  <c r="C8" i="164"/>
  <c r="L9" i="164" s="1"/>
  <c r="C7" i="164"/>
  <c r="J5" i="163"/>
  <c r="I6" i="163"/>
  <c r="C24" i="160"/>
  <c r="A6" i="158"/>
  <c r="H18" i="157"/>
  <c r="G18" i="157"/>
  <c r="F18" i="157"/>
  <c r="A6" i="157"/>
  <c r="B19" i="157"/>
  <c r="AK14" i="156"/>
  <c r="AK15" i="156"/>
  <c r="AJ14" i="156"/>
  <c r="AJ15" i="156"/>
  <c r="AI14" i="156"/>
  <c r="AI15" i="156"/>
  <c r="AC7" i="156"/>
  <c r="Z8" i="156"/>
  <c r="AA8" i="156" s="1"/>
  <c r="AB6" i="156"/>
  <c r="AB8" i="156"/>
  <c r="AB7" i="156"/>
  <c r="AA6" i="156"/>
  <c r="AD6" i="156" s="1"/>
  <c r="AA7" i="156"/>
  <c r="AD7" i="156" s="1"/>
  <c r="E24" i="155"/>
  <c r="F13" i="155"/>
  <c r="F24" i="155" s="1"/>
  <c r="B16" i="155"/>
  <c r="C15" i="155"/>
  <c r="D15" i="155" s="1"/>
  <c r="F14" i="155"/>
  <c r="E14" i="155"/>
  <c r="C4" i="151"/>
  <c r="D3" i="151"/>
  <c r="E3" i="150"/>
  <c r="E4" i="150" s="1"/>
  <c r="E5" i="150" s="1"/>
  <c r="E6" i="150" s="1"/>
  <c r="E7" i="150" s="1"/>
  <c r="E8" i="150" s="1"/>
  <c r="E9" i="150" s="1"/>
  <c r="E10" i="150" s="1"/>
  <c r="E11" i="150" s="1"/>
  <c r="E12" i="150" s="1"/>
  <c r="E13" i="150" s="1"/>
  <c r="E14" i="150" s="1"/>
  <c r="E15" i="150" s="1"/>
  <c r="E16" i="150" s="1"/>
  <c r="E17" i="150" s="1"/>
  <c r="E18" i="150" s="1"/>
  <c r="D20" i="150"/>
  <c r="G3" i="150"/>
  <c r="H3" i="150" s="1"/>
  <c r="F4" i="150" s="1"/>
  <c r="I3" i="150"/>
  <c r="B12" i="275" l="1"/>
  <c r="B4" i="275"/>
  <c r="B9" i="275"/>
  <c r="B6" i="275"/>
  <c r="B7" i="275"/>
  <c r="B11" i="275"/>
  <c r="B8" i="275"/>
  <c r="B10" i="275"/>
  <c r="B5" i="275"/>
  <c r="F6" i="275"/>
  <c r="F8" i="275"/>
  <c r="F5" i="275"/>
  <c r="F9" i="275"/>
  <c r="F4" i="275"/>
  <c r="F12" i="275"/>
  <c r="F7" i="275"/>
  <c r="F11" i="275"/>
  <c r="D7" i="275"/>
  <c r="D11" i="275"/>
  <c r="D12" i="275"/>
  <c r="D10" i="275"/>
  <c r="D5" i="275"/>
  <c r="D9" i="275"/>
  <c r="D8" i="275"/>
  <c r="D4" i="275"/>
  <c r="D6" i="275"/>
  <c r="G9" i="275"/>
  <c r="G10" i="275"/>
  <c r="G8" i="275"/>
  <c r="G11" i="275"/>
  <c r="G12" i="275"/>
  <c r="G5" i="275"/>
  <c r="G6" i="275"/>
  <c r="G4" i="275"/>
  <c r="G7" i="275"/>
  <c r="E13" i="275"/>
  <c r="B13" i="275"/>
  <c r="D13" i="275"/>
  <c r="A14" i="275"/>
  <c r="F13" i="275"/>
  <c r="C13" i="275"/>
  <c r="G13" i="275"/>
  <c r="E4" i="275"/>
  <c r="E7" i="275"/>
  <c r="E11" i="275"/>
  <c r="E8" i="275"/>
  <c r="E5" i="275"/>
  <c r="M14" i="275"/>
  <c r="L16" i="275" s="1"/>
  <c r="E6" i="275"/>
  <c r="E9" i="275"/>
  <c r="E10" i="275"/>
  <c r="E12" i="275"/>
  <c r="E14" i="274"/>
  <c r="E68" i="274"/>
  <c r="E100" i="274"/>
  <c r="E98" i="274"/>
  <c r="E96" i="274"/>
  <c r="E95" i="274"/>
  <c r="E93" i="274"/>
  <c r="E92" i="274"/>
  <c r="E91" i="274"/>
  <c r="E13" i="274"/>
  <c r="E86" i="274"/>
  <c r="E8" i="274"/>
  <c r="E80" i="274"/>
  <c r="E81" i="274"/>
  <c r="E82" i="274"/>
  <c r="E16" i="274"/>
  <c r="E28" i="274"/>
  <c r="E71" i="274"/>
  <c r="E78" i="274"/>
  <c r="E57" i="274"/>
  <c r="E20" i="274"/>
  <c r="E33" i="274"/>
  <c r="E55" i="274"/>
  <c r="E58" i="274"/>
  <c r="E19" i="274"/>
  <c r="E61" i="274"/>
  <c r="E52" i="274"/>
  <c r="E104" i="274"/>
  <c r="E18" i="274"/>
  <c r="E44" i="274"/>
  <c r="E10" i="274"/>
  <c r="E47" i="274"/>
  <c r="E17" i="274"/>
  <c r="E29" i="274"/>
  <c r="E30" i="274"/>
  <c r="E15" i="274"/>
  <c r="D50" i="274"/>
  <c r="F50" i="274" s="1"/>
  <c r="D61" i="274"/>
  <c r="D49" i="274"/>
  <c r="D24" i="274"/>
  <c r="F24" i="274" s="1"/>
  <c r="D31" i="274"/>
  <c r="D104" i="274"/>
  <c r="D85" i="274"/>
  <c r="F85" i="274" s="1"/>
  <c r="D70" i="274"/>
  <c r="F70" i="274" s="1"/>
  <c r="D51" i="274"/>
  <c r="F51" i="274" s="1"/>
  <c r="D103" i="274"/>
  <c r="D102" i="274"/>
  <c r="D84" i="274"/>
  <c r="D42" i="274"/>
  <c r="D59" i="274"/>
  <c r="D30" i="274"/>
  <c r="D95" i="274"/>
  <c r="D48" i="274"/>
  <c r="D10" i="274"/>
  <c r="D16" i="274"/>
  <c r="D15" i="274"/>
  <c r="D14" i="274"/>
  <c r="D13" i="274"/>
  <c r="D36" i="274"/>
  <c r="D35" i="274"/>
  <c r="F35" i="274" s="1"/>
  <c r="D99" i="274"/>
  <c r="D98" i="274"/>
  <c r="D97" i="274"/>
  <c r="D92" i="274"/>
  <c r="D91" i="274"/>
  <c r="D87" i="274"/>
  <c r="D86" i="274"/>
  <c r="D82" i="274"/>
  <c r="D58" i="274"/>
  <c r="D11" i="274"/>
  <c r="D7" i="274"/>
  <c r="D71" i="274"/>
  <c r="D69" i="274"/>
  <c r="D68" i="274"/>
  <c r="D43" i="274"/>
  <c r="F43" i="274" s="1"/>
  <c r="D55" i="274"/>
  <c r="D52" i="274"/>
  <c r="D28" i="274"/>
  <c r="D6" i="274"/>
  <c r="F6" i="274" s="1"/>
  <c r="D12" i="274"/>
  <c r="F12" i="274" s="1"/>
  <c r="D94" i="274"/>
  <c r="D25" i="274"/>
  <c r="F25" i="274" s="1"/>
  <c r="D22" i="274"/>
  <c r="F22" i="274" s="1"/>
  <c r="D54" i="274"/>
  <c r="F54" i="274" s="1"/>
  <c r="D17" i="274"/>
  <c r="D93" i="274"/>
  <c r="D67" i="274"/>
  <c r="D60" i="274"/>
  <c r="D44" i="274"/>
  <c r="D39" i="274"/>
  <c r="D8" i="274"/>
  <c r="D90" i="274"/>
  <c r="D20" i="274"/>
  <c r="D27" i="274"/>
  <c r="D89" i="274"/>
  <c r="D100" i="274"/>
  <c r="D33" i="274"/>
  <c r="D62" i="274"/>
  <c r="D56" i="274"/>
  <c r="D5" i="274"/>
  <c r="D38" i="274"/>
  <c r="D45" i="274"/>
  <c r="D83" i="274"/>
  <c r="D19" i="274"/>
  <c r="D81" i="274"/>
  <c r="D74" i="274"/>
  <c r="D66" i="274"/>
  <c r="D53" i="274"/>
  <c r="D29" i="274"/>
  <c r="D9" i="274"/>
  <c r="F9" i="274" s="1"/>
  <c r="D4" i="274"/>
  <c r="D101" i="274"/>
  <c r="D73" i="274"/>
  <c r="D41" i="274"/>
  <c r="D80" i="274"/>
  <c r="D78" i="274"/>
  <c r="D18" i="274"/>
  <c r="D76" i="274"/>
  <c r="D65" i="274"/>
  <c r="D47" i="274"/>
  <c r="D26" i="274"/>
  <c r="F26" i="274" s="1"/>
  <c r="D72" i="274"/>
  <c r="F72" i="274" s="1"/>
  <c r="D79" i="274"/>
  <c r="D88" i="274"/>
  <c r="D75" i="274"/>
  <c r="F75" i="274" s="1"/>
  <c r="D63" i="274"/>
  <c r="F63" i="274" s="1"/>
  <c r="D57" i="274"/>
  <c r="D46" i="274"/>
  <c r="D34" i="274"/>
  <c r="D32" i="274"/>
  <c r="D23" i="274"/>
  <c r="F23" i="274" s="1"/>
  <c r="D21" i="274"/>
  <c r="F21" i="274" s="1"/>
  <c r="D37" i="274"/>
  <c r="F37" i="274" s="1"/>
  <c r="D96" i="274"/>
  <c r="D77" i="274"/>
  <c r="F77" i="274" s="1"/>
  <c r="D64" i="274"/>
  <c r="D40" i="274"/>
  <c r="C104" i="274"/>
  <c r="C101" i="274"/>
  <c r="C103" i="274"/>
  <c r="C34" i="274"/>
  <c r="C102" i="274"/>
  <c r="C44" i="274"/>
  <c r="C14" i="274"/>
  <c r="C5" i="274"/>
  <c r="C95" i="274"/>
  <c r="C61" i="274"/>
  <c r="C57" i="274"/>
  <c r="C66" i="274"/>
  <c r="C76" i="274"/>
  <c r="C62" i="274"/>
  <c r="C60" i="274"/>
  <c r="C84" i="274"/>
  <c r="C15" i="274"/>
  <c r="C49" i="274"/>
  <c r="C45" i="274"/>
  <c r="C30" i="274"/>
  <c r="C42" i="274"/>
  <c r="C38" i="274"/>
  <c r="C11" i="274"/>
  <c r="C36" i="274"/>
  <c r="C16" i="274"/>
  <c r="C78" i="274"/>
  <c r="C32" i="274"/>
  <c r="C89" i="274"/>
  <c r="C90" i="274"/>
  <c r="B78" i="274"/>
  <c r="B82" i="274"/>
  <c r="B53" i="274"/>
  <c r="B80" i="274"/>
  <c r="B83" i="274"/>
  <c r="B87" i="274"/>
  <c r="B44" i="274"/>
  <c r="B73" i="274"/>
  <c r="B5" i="274"/>
  <c r="B88" i="274"/>
  <c r="B71" i="274"/>
  <c r="B47" i="274"/>
  <c r="B4" i="274"/>
  <c r="B69" i="274"/>
  <c r="B94" i="274"/>
  <c r="B93" i="274"/>
  <c r="B98" i="274"/>
  <c r="B99" i="274"/>
  <c r="B65" i="274"/>
  <c r="B66" i="274"/>
  <c r="B89" i="274"/>
  <c r="B27" i="274"/>
  <c r="B31" i="274"/>
  <c r="F31" i="274" s="1"/>
  <c r="B61" i="274"/>
  <c r="B100" i="274"/>
  <c r="B95" i="274"/>
  <c r="B60" i="274"/>
  <c r="B62" i="274"/>
  <c r="B84" i="274"/>
  <c r="B36" i="274"/>
  <c r="B11" i="274"/>
  <c r="B48" i="274"/>
  <c r="F48" i="274" s="1"/>
  <c r="B13" i="274"/>
  <c r="F13" i="274" s="1"/>
  <c r="B81" i="274"/>
  <c r="B79" i="274"/>
  <c r="B46" i="274"/>
  <c r="B76" i="274"/>
  <c r="B74" i="274"/>
  <c r="B67" i="274"/>
  <c r="B101" i="274"/>
  <c r="B39" i="274"/>
  <c r="B40" i="274"/>
  <c r="B15" i="274"/>
  <c r="B56" i="274"/>
  <c r="B49" i="274"/>
  <c r="B59" i="274"/>
  <c r="B52" i="274"/>
  <c r="B55" i="274"/>
  <c r="B16" i="274"/>
  <c r="B41" i="274"/>
  <c r="B91" i="274"/>
  <c r="B42" i="274"/>
  <c r="B28" i="274"/>
  <c r="B7" i="274"/>
  <c r="B32" i="274"/>
  <c r="B96" i="274"/>
  <c r="B30" i="274"/>
  <c r="B33" i="274"/>
  <c r="B17" i="274"/>
  <c r="B97" i="274"/>
  <c r="B14" i="274"/>
  <c r="B64" i="274"/>
  <c r="B92" i="274"/>
  <c r="L12" i="273"/>
  <c r="L13" i="273"/>
  <c r="N12" i="273"/>
  <c r="N13" i="273"/>
  <c r="M12" i="273"/>
  <c r="M13" i="273"/>
  <c r="K12" i="273"/>
  <c r="K13" i="273"/>
  <c r="C6" i="273"/>
  <c r="A7" i="273"/>
  <c r="B6" i="273"/>
  <c r="E6" i="273"/>
  <c r="D6" i="273"/>
  <c r="A7" i="272"/>
  <c r="B6" i="272"/>
  <c r="D6" i="272"/>
  <c r="L12" i="272"/>
  <c r="L13" i="272"/>
  <c r="C6" i="272" s="1"/>
  <c r="D4" i="272"/>
  <c r="D5" i="272"/>
  <c r="N12" i="272"/>
  <c r="N13" i="272"/>
  <c r="E6" i="272" s="1"/>
  <c r="B4" i="272"/>
  <c r="B5" i="272"/>
  <c r="D86" i="249"/>
  <c r="D34" i="249"/>
  <c r="D99" i="249"/>
  <c r="D35" i="249"/>
  <c r="D53" i="249"/>
  <c r="D66" i="249"/>
  <c r="D62" i="249"/>
  <c r="D20" i="249"/>
  <c r="D50" i="249"/>
  <c r="C60" i="249"/>
  <c r="C34" i="249"/>
  <c r="C46" i="249"/>
  <c r="C33" i="249"/>
  <c r="C28" i="249"/>
  <c r="E47" i="249"/>
  <c r="E68" i="249"/>
  <c r="E39" i="249"/>
  <c r="E101" i="249"/>
  <c r="E27" i="249"/>
  <c r="E13" i="249"/>
  <c r="E31" i="249"/>
  <c r="E64" i="249"/>
  <c r="E33" i="249"/>
  <c r="E67" i="249"/>
  <c r="E73" i="249"/>
  <c r="E102" i="249"/>
  <c r="E100" i="249"/>
  <c r="E48" i="249"/>
  <c r="E96" i="249"/>
  <c r="E51" i="249"/>
  <c r="E14" i="249"/>
  <c r="E12" i="249"/>
  <c r="E103" i="249"/>
  <c r="E46" i="249"/>
  <c r="E6" i="266"/>
  <c r="E4" i="266"/>
  <c r="E5" i="266"/>
  <c r="J17" i="270"/>
  <c r="J10" i="270"/>
  <c r="H10" i="270"/>
  <c r="K10" i="270"/>
  <c r="I10" i="270"/>
  <c r="L10" i="270"/>
  <c r="H5" i="270"/>
  <c r="G18" i="270" s="1"/>
  <c r="G16" i="270"/>
  <c r="J17" i="269"/>
  <c r="K10" i="269"/>
  <c r="H10" i="269"/>
  <c r="L10" i="269"/>
  <c r="I10" i="269"/>
  <c r="J10" i="269"/>
  <c r="H5" i="269"/>
  <c r="G18" i="269" s="1"/>
  <c r="G16" i="269"/>
  <c r="J23" i="267"/>
  <c r="I11" i="267"/>
  <c r="R6" i="267"/>
  <c r="I10" i="267"/>
  <c r="Q6" i="267"/>
  <c r="I22" i="267"/>
  <c r="H21" i="267"/>
  <c r="H16" i="267"/>
  <c r="I16" i="267"/>
  <c r="P5" i="267" s="1"/>
  <c r="J16" i="267"/>
  <c r="P6" i="267" s="1"/>
  <c r="K16" i="267"/>
  <c r="P7" i="267" s="1"/>
  <c r="L16" i="267"/>
  <c r="P8" i="267" s="1"/>
  <c r="P3" i="267"/>
  <c r="G14" i="267"/>
  <c r="G24" i="267"/>
  <c r="K14" i="266"/>
  <c r="G6" i="266"/>
  <c r="A7" i="266"/>
  <c r="C6" i="266"/>
  <c r="C4" i="266"/>
  <c r="C5" i="266"/>
  <c r="G6" i="265"/>
  <c r="H6" i="265" s="1"/>
  <c r="A7" i="265"/>
  <c r="F5" i="265"/>
  <c r="H5" i="265" s="1"/>
  <c r="AG7" i="265"/>
  <c r="K18" i="265" s="1"/>
  <c r="K18" i="264"/>
  <c r="G6" i="264"/>
  <c r="H6" i="264" s="1"/>
  <c r="A7" i="264"/>
  <c r="F5" i="264"/>
  <c r="H5" i="264" s="1"/>
  <c r="AC8" i="260"/>
  <c r="AD8" i="260" s="1"/>
  <c r="Z9" i="260"/>
  <c r="AD7" i="260"/>
  <c r="AD6" i="260"/>
  <c r="E16" i="253"/>
  <c r="A17" i="253"/>
  <c r="D16" i="253"/>
  <c r="L12" i="253"/>
  <c r="L13" i="253"/>
  <c r="C16" i="253" s="1"/>
  <c r="K12" i="253"/>
  <c r="K13" i="253"/>
  <c r="B16" i="253" s="1"/>
  <c r="F16" i="253" s="1"/>
  <c r="P11" i="252"/>
  <c r="P12" i="252" s="1"/>
  <c r="P13" i="252"/>
  <c r="Q9" i="252"/>
  <c r="A7" i="252"/>
  <c r="D6" i="252"/>
  <c r="E6" i="252" s="1"/>
  <c r="P13" i="251"/>
  <c r="Q9" i="251"/>
  <c r="R5" i="251"/>
  <c r="Q11" i="251"/>
  <c r="Q12" i="251" s="1"/>
  <c r="D6" i="251"/>
  <c r="E6" i="251" s="1"/>
  <c r="A7" i="251"/>
  <c r="O12" i="251"/>
  <c r="O13" i="251"/>
  <c r="A85" i="250"/>
  <c r="E84" i="250"/>
  <c r="D84" i="250"/>
  <c r="C84" i="250"/>
  <c r="B84" i="250"/>
  <c r="F84" i="250" s="1"/>
  <c r="F14" i="250"/>
  <c r="F7" i="250"/>
  <c r="F9" i="250"/>
  <c r="F10" i="250"/>
  <c r="F8" i="250"/>
  <c r="F5" i="250"/>
  <c r="F4" i="250"/>
  <c r="F11" i="250"/>
  <c r="F12" i="250"/>
  <c r="F6" i="250"/>
  <c r="F32" i="250"/>
  <c r="F13" i="250"/>
  <c r="D42" i="249"/>
  <c r="D44" i="249"/>
  <c r="D10" i="249"/>
  <c r="D31" i="249"/>
  <c r="D29" i="249"/>
  <c r="D28" i="249"/>
  <c r="D18" i="249"/>
  <c r="D60" i="249"/>
  <c r="D15" i="249"/>
  <c r="D104" i="249"/>
  <c r="D9" i="249"/>
  <c r="D7" i="249"/>
  <c r="D100" i="249"/>
  <c r="D27" i="249"/>
  <c r="D98" i="249"/>
  <c r="D97" i="249"/>
  <c r="D13" i="249"/>
  <c r="D95" i="249"/>
  <c r="D14" i="249"/>
  <c r="D94" i="249"/>
  <c r="D93" i="249"/>
  <c r="D91" i="249"/>
  <c r="D8" i="249"/>
  <c r="D47" i="249"/>
  <c r="D65" i="249"/>
  <c r="D6" i="249"/>
  <c r="D77" i="249"/>
  <c r="D73" i="249"/>
  <c r="K12" i="249"/>
  <c r="K13" i="249"/>
  <c r="L12" i="248"/>
  <c r="L13" i="248"/>
  <c r="N12" i="248"/>
  <c r="N13" i="248"/>
  <c r="M13" i="248"/>
  <c r="M12" i="248"/>
  <c r="K12" i="248"/>
  <c r="K13" i="248"/>
  <c r="D7" i="247"/>
  <c r="E7" i="247" s="1"/>
  <c r="F7" i="247"/>
  <c r="F8" i="247"/>
  <c r="D8" i="247"/>
  <c r="E8" i="247" s="1"/>
  <c r="D6" i="246"/>
  <c r="E6" i="246" s="1"/>
  <c r="F6" i="246"/>
  <c r="D8" i="246"/>
  <c r="E8" i="246" s="1"/>
  <c r="F8" i="246"/>
  <c r="C6" i="245"/>
  <c r="A7" i="245"/>
  <c r="A8" i="245" s="1"/>
  <c r="C8" i="245" s="1"/>
  <c r="F4" i="245"/>
  <c r="D4" i="245"/>
  <c r="E4" i="245" s="1"/>
  <c r="D4" i="244"/>
  <c r="E4" i="244" s="1"/>
  <c r="F4" i="244"/>
  <c r="A7" i="244"/>
  <c r="A8" i="244" s="1"/>
  <c r="C8" i="244" s="1"/>
  <c r="C6" i="244"/>
  <c r="G8" i="240"/>
  <c r="G11" i="240"/>
  <c r="G14" i="240"/>
  <c r="G17" i="240"/>
  <c r="G20" i="240"/>
  <c r="G23" i="240"/>
  <c r="G26" i="240"/>
  <c r="G29" i="240"/>
  <c r="G32" i="240"/>
  <c r="G35" i="240"/>
  <c r="G39" i="240"/>
  <c r="G42" i="240"/>
  <c r="G45" i="240"/>
  <c r="G48" i="240"/>
  <c r="G51" i="240"/>
  <c r="G54" i="240"/>
  <c r="G57" i="240"/>
  <c r="G60" i="240"/>
  <c r="G63" i="240"/>
  <c r="G66" i="240"/>
  <c r="G69" i="240"/>
  <c r="G7" i="240"/>
  <c r="G10" i="240"/>
  <c r="G13" i="240"/>
  <c r="G16" i="240"/>
  <c r="G19" i="240"/>
  <c r="G22" i="240"/>
  <c r="G25" i="240"/>
  <c r="G28" i="240"/>
  <c r="G30" i="240"/>
  <c r="G33" i="240"/>
  <c r="G36" i="240"/>
  <c r="G38" i="240"/>
  <c r="G41" i="240"/>
  <c r="G44" i="240"/>
  <c r="G47" i="240"/>
  <c r="G50" i="240"/>
  <c r="G53" i="240"/>
  <c r="G56" i="240"/>
  <c r="G59" i="240"/>
  <c r="G62" i="240"/>
  <c r="G65" i="240"/>
  <c r="G68" i="240"/>
  <c r="G9" i="240"/>
  <c r="G12" i="240"/>
  <c r="G15" i="240"/>
  <c r="G18" i="240"/>
  <c r="G21" i="240"/>
  <c r="G24" i="240"/>
  <c r="G27" i="240"/>
  <c r="G31" i="240"/>
  <c r="G34" i="240"/>
  <c r="G37" i="240"/>
  <c r="G40" i="240"/>
  <c r="G43" i="240"/>
  <c r="G46" i="240"/>
  <c r="G49" i="240"/>
  <c r="G52" i="240"/>
  <c r="G55" i="240"/>
  <c r="G58" i="240"/>
  <c r="G61" i="240"/>
  <c r="G64" i="240"/>
  <c r="G67" i="240"/>
  <c r="G6" i="240"/>
  <c r="D7" i="240"/>
  <c r="D8" i="240" s="1"/>
  <c r="D9" i="240" s="1"/>
  <c r="D10" i="240" s="1"/>
  <c r="D11" i="240" s="1"/>
  <c r="D12" i="240" s="1"/>
  <c r="D13" i="240" s="1"/>
  <c r="D14" i="240" s="1"/>
  <c r="D15" i="240" s="1"/>
  <c r="D16" i="240" s="1"/>
  <c r="D17" i="240" s="1"/>
  <c r="D18" i="240" s="1"/>
  <c r="D19" i="240" s="1"/>
  <c r="D20" i="240" s="1"/>
  <c r="D21" i="240" s="1"/>
  <c r="D22" i="240" s="1"/>
  <c r="D23" i="240" s="1"/>
  <c r="D24" i="240" s="1"/>
  <c r="D25" i="240" s="1"/>
  <c r="D26" i="240" s="1"/>
  <c r="D27" i="240" s="1"/>
  <c r="D28" i="240" s="1"/>
  <c r="D29" i="240" s="1"/>
  <c r="D30" i="240" s="1"/>
  <c r="D31" i="240" s="1"/>
  <c r="D32" i="240" s="1"/>
  <c r="D33" i="240" s="1"/>
  <c r="D34" i="240" s="1"/>
  <c r="D35" i="240" s="1"/>
  <c r="D36" i="240" s="1"/>
  <c r="D37" i="240" s="1"/>
  <c r="D38" i="240" s="1"/>
  <c r="D39" i="240" s="1"/>
  <c r="D40" i="240" s="1"/>
  <c r="D41" i="240" s="1"/>
  <c r="D42" i="240" s="1"/>
  <c r="D43" i="240" s="1"/>
  <c r="D44" i="240" s="1"/>
  <c r="D45" i="240" s="1"/>
  <c r="D46" i="240" s="1"/>
  <c r="D47" i="240" s="1"/>
  <c r="D48" i="240" s="1"/>
  <c r="D49" i="240" s="1"/>
  <c r="D50" i="240" s="1"/>
  <c r="D51" i="240" s="1"/>
  <c r="D52" i="240" s="1"/>
  <c r="D53" i="240" s="1"/>
  <c r="D54" i="240" s="1"/>
  <c r="D55" i="240" s="1"/>
  <c r="D56" i="240" s="1"/>
  <c r="D57" i="240" s="1"/>
  <c r="D58" i="240" s="1"/>
  <c r="D59" i="240" s="1"/>
  <c r="D60" i="240" s="1"/>
  <c r="D61" i="240" s="1"/>
  <c r="D62" i="240" s="1"/>
  <c r="D63" i="240" s="1"/>
  <c r="D64" i="240" s="1"/>
  <c r="D65" i="240" s="1"/>
  <c r="D66" i="240" s="1"/>
  <c r="D67" i="240" s="1"/>
  <c r="D68" i="240" s="1"/>
  <c r="D69" i="240" s="1"/>
  <c r="B33" i="239"/>
  <c r="B43" i="239" s="1"/>
  <c r="B56" i="239" s="1"/>
  <c r="B24" i="239"/>
  <c r="I4" i="239"/>
  <c r="H5" i="239"/>
  <c r="B33" i="238"/>
  <c r="B43" i="238" s="1"/>
  <c r="B56" i="238" s="1"/>
  <c r="B24" i="238"/>
  <c r="B24" i="237"/>
  <c r="B33" i="237"/>
  <c r="B43" i="237" s="1"/>
  <c r="B56" i="237" s="1"/>
  <c r="G55" i="237"/>
  <c r="B24" i="236"/>
  <c r="B33" i="236"/>
  <c r="B43" i="236" s="1"/>
  <c r="B56" i="236" s="1"/>
  <c r="K7" i="235"/>
  <c r="J8" i="235"/>
  <c r="J8" i="234"/>
  <c r="K7" i="234"/>
  <c r="A7" i="230"/>
  <c r="A8" i="230" s="1"/>
  <c r="A7" i="228"/>
  <c r="A8" i="228" s="1"/>
  <c r="J16" i="227"/>
  <c r="I9" i="227"/>
  <c r="K9" i="227"/>
  <c r="H9" i="227"/>
  <c r="L9" i="227"/>
  <c r="J9" i="227"/>
  <c r="H5" i="227"/>
  <c r="G15" i="227"/>
  <c r="G3" i="226"/>
  <c r="F14" i="226"/>
  <c r="G3" i="225"/>
  <c r="F14" i="225"/>
  <c r="G13" i="225" s="1"/>
  <c r="H12" i="225" s="1"/>
  <c r="I11" i="225" s="1"/>
  <c r="J10" i="225" s="1"/>
  <c r="J23" i="225" s="1"/>
  <c r="O12" i="224"/>
  <c r="P11" i="224" s="1"/>
  <c r="Q10" i="224" s="1"/>
  <c r="R9" i="224" s="1"/>
  <c r="P4" i="224"/>
  <c r="K4" i="224"/>
  <c r="J11" i="224"/>
  <c r="K10" i="224" s="1"/>
  <c r="L9" i="224" s="1"/>
  <c r="G4" i="224"/>
  <c r="F12" i="224" s="1"/>
  <c r="G13" i="224" s="1"/>
  <c r="F10" i="224"/>
  <c r="E26" i="184"/>
  <c r="I24" i="184"/>
  <c r="E26" i="185"/>
  <c r="I25" i="185" s="1"/>
  <c r="I24" i="185" s="1"/>
  <c r="I26" i="185"/>
  <c r="C11" i="217"/>
  <c r="D11" i="217" s="1"/>
  <c r="C10" i="217"/>
  <c r="D10" i="217" s="1"/>
  <c r="C24" i="217" s="1"/>
  <c r="C25" i="217" s="1"/>
  <c r="AK14" i="210"/>
  <c r="AK15" i="210"/>
  <c r="Z9" i="210"/>
  <c r="AC8" i="210"/>
  <c r="AA7" i="210"/>
  <c r="AD7" i="210" s="1"/>
  <c r="AA8" i="210"/>
  <c r="AD8" i="210" s="1"/>
  <c r="AA6" i="210"/>
  <c r="AD6" i="210" s="1"/>
  <c r="C4" i="204"/>
  <c r="A5" i="204"/>
  <c r="D3" i="204"/>
  <c r="E3" i="204" s="1"/>
  <c r="F3" i="204"/>
  <c r="C4" i="202"/>
  <c r="A5" i="202"/>
  <c r="F3" i="202"/>
  <c r="D3" i="202"/>
  <c r="E3" i="202" s="1"/>
  <c r="D41" i="185"/>
  <c r="A40" i="185"/>
  <c r="B41" i="185"/>
  <c r="D27" i="185"/>
  <c r="B27" i="185"/>
  <c r="A26" i="185"/>
  <c r="B29" i="185"/>
  <c r="D29" i="185"/>
  <c r="D25" i="185"/>
  <c r="H24" i="185" s="1"/>
  <c r="H37" i="185" s="1"/>
  <c r="I39" i="185"/>
  <c r="D38" i="185"/>
  <c r="B43" i="185"/>
  <c r="D43" i="185"/>
  <c r="D42" i="185"/>
  <c r="B42" i="185"/>
  <c r="B28" i="185"/>
  <c r="D28" i="185"/>
  <c r="I41" i="185"/>
  <c r="B27" i="184"/>
  <c r="D27" i="184"/>
  <c r="A26" i="184"/>
  <c r="D29" i="184"/>
  <c r="D25" i="184"/>
  <c r="H24" i="184" s="1"/>
  <c r="B29" i="184"/>
  <c r="D28" i="184"/>
  <c r="B28" i="184"/>
  <c r="D13" i="181"/>
  <c r="E10" i="181"/>
  <c r="B11" i="181"/>
  <c r="F6" i="178"/>
  <c r="F6" i="176"/>
  <c r="G6" i="176" s="1"/>
  <c r="H6" i="176"/>
  <c r="B8" i="174"/>
  <c r="D7" i="174"/>
  <c r="J8" i="167"/>
  <c r="K7" i="167"/>
  <c r="J8" i="166"/>
  <c r="K7" i="166"/>
  <c r="J7" i="165"/>
  <c r="K6" i="165"/>
  <c r="M9" i="164"/>
  <c r="O9" i="164" s="1"/>
  <c r="N9" i="164"/>
  <c r="L10" i="164"/>
  <c r="J6" i="163"/>
  <c r="I7" i="163"/>
  <c r="A7" i="158"/>
  <c r="B20" i="157"/>
  <c r="A7" i="157"/>
  <c r="H19" i="157"/>
  <c r="F19" i="157"/>
  <c r="G19" i="157"/>
  <c r="AC8" i="156"/>
  <c r="AD8" i="156" s="1"/>
  <c r="Z9" i="156"/>
  <c r="C16" i="155"/>
  <c r="D16" i="155" s="1"/>
  <c r="B17" i="155"/>
  <c r="G13" i="155"/>
  <c r="G15" i="155" s="1"/>
  <c r="F15" i="155"/>
  <c r="E15" i="155"/>
  <c r="D4" i="151"/>
  <c r="C5" i="151"/>
  <c r="F3" i="151"/>
  <c r="E3" i="151"/>
  <c r="F53" i="274" l="1"/>
  <c r="F83" i="274"/>
  <c r="F87" i="274"/>
  <c r="F99" i="274"/>
  <c r="F95" i="274"/>
  <c r="F84" i="274"/>
  <c r="F36" i="274"/>
  <c r="F11" i="274"/>
  <c r="H7" i="275"/>
  <c r="H8" i="275"/>
  <c r="H12" i="275"/>
  <c r="H6" i="275"/>
  <c r="H9" i="275"/>
  <c r="H10" i="275"/>
  <c r="H11" i="275"/>
  <c r="H5" i="275"/>
  <c r="H4" i="275"/>
  <c r="H13" i="275"/>
  <c r="C14" i="275"/>
  <c r="A15" i="275"/>
  <c r="B14" i="275"/>
  <c r="F14" i="275"/>
  <c r="E14" i="275"/>
  <c r="D14" i="275"/>
  <c r="G14" i="275"/>
  <c r="F68" i="274"/>
  <c r="F8" i="274"/>
  <c r="F86" i="274"/>
  <c r="F58" i="274"/>
  <c r="F20" i="274"/>
  <c r="F19" i="274"/>
  <c r="F29" i="274"/>
  <c r="F18" i="274"/>
  <c r="F80" i="274"/>
  <c r="F61" i="274"/>
  <c r="F10" i="274"/>
  <c r="F82" i="274"/>
  <c r="F44" i="274"/>
  <c r="F88" i="274"/>
  <c r="F71" i="274"/>
  <c r="F47" i="274"/>
  <c r="F4" i="274"/>
  <c r="F69" i="274"/>
  <c r="F94" i="274"/>
  <c r="F93" i="274"/>
  <c r="F98" i="274"/>
  <c r="F65" i="274"/>
  <c r="F66" i="274"/>
  <c r="F89" i="274"/>
  <c r="F27" i="274"/>
  <c r="F100" i="274"/>
  <c r="F60" i="274"/>
  <c r="F62" i="274"/>
  <c r="F81" i="274"/>
  <c r="F97" i="274"/>
  <c r="F92" i="274"/>
  <c r="F104" i="274"/>
  <c r="F103" i="274"/>
  <c r="F34" i="274"/>
  <c r="F102" i="274"/>
  <c r="F57" i="274"/>
  <c r="F45" i="274"/>
  <c r="F38" i="274"/>
  <c r="F90" i="274"/>
  <c r="F78" i="274"/>
  <c r="F73" i="274"/>
  <c r="F5" i="274"/>
  <c r="F79" i="274"/>
  <c r="F46" i="274"/>
  <c r="F76" i="274"/>
  <c r="F74" i="274"/>
  <c r="F67" i="274"/>
  <c r="F101" i="274"/>
  <c r="F39" i="274"/>
  <c r="F40" i="274"/>
  <c r="F15" i="274"/>
  <c r="F56" i="274"/>
  <c r="F49" i="274"/>
  <c r="F59" i="274"/>
  <c r="F52" i="274"/>
  <c r="F55" i="274"/>
  <c r="F16" i="274"/>
  <c r="F41" i="274"/>
  <c r="F91" i="274"/>
  <c r="F42" i="274"/>
  <c r="F28" i="274"/>
  <c r="F7" i="274"/>
  <c r="F32" i="274"/>
  <c r="F96" i="274"/>
  <c r="F30" i="274"/>
  <c r="F33" i="274"/>
  <c r="F17" i="274"/>
  <c r="F14" i="274"/>
  <c r="F64" i="274"/>
  <c r="F6" i="266"/>
  <c r="H6" i="266" s="1"/>
  <c r="C5" i="273"/>
  <c r="C4" i="273"/>
  <c r="E5" i="273"/>
  <c r="E4" i="273"/>
  <c r="D4" i="273"/>
  <c r="D5" i="273"/>
  <c r="B5" i="273"/>
  <c r="B4" i="273"/>
  <c r="D7" i="273"/>
  <c r="A8" i="273"/>
  <c r="C7" i="273"/>
  <c r="B7" i="273"/>
  <c r="E7" i="273"/>
  <c r="F6" i="273"/>
  <c r="C7" i="272"/>
  <c r="E7" i="272"/>
  <c r="A8" i="272"/>
  <c r="B7" i="272"/>
  <c r="D7" i="272"/>
  <c r="C4" i="272"/>
  <c r="C5" i="272"/>
  <c r="E4" i="272"/>
  <c r="E5" i="272"/>
  <c r="F6" i="272"/>
  <c r="F5" i="266"/>
  <c r="H5" i="266" s="1"/>
  <c r="F4" i="266"/>
  <c r="L17" i="270"/>
  <c r="L31" i="270" s="1"/>
  <c r="I18" i="270"/>
  <c r="H19" i="270"/>
  <c r="H15" i="270"/>
  <c r="I16" i="270"/>
  <c r="L17" i="269"/>
  <c r="L31" i="269" s="1"/>
  <c r="I18" i="269"/>
  <c r="H19" i="269"/>
  <c r="H15" i="269"/>
  <c r="I16" i="269"/>
  <c r="L23" i="267"/>
  <c r="L37" i="267" s="1"/>
  <c r="R7" i="267"/>
  <c r="J11" i="267"/>
  <c r="J13" i="267" s="1"/>
  <c r="J10" i="267"/>
  <c r="J12" i="267" s="1"/>
  <c r="J14" i="267" s="1"/>
  <c r="Q7" i="267"/>
  <c r="K22" i="267"/>
  <c r="J21" i="267"/>
  <c r="I20" i="267"/>
  <c r="H12" i="267"/>
  <c r="H14" i="267" s="1"/>
  <c r="H13" i="267"/>
  <c r="P4" i="267"/>
  <c r="H25" i="267"/>
  <c r="I24" i="267"/>
  <c r="I13" i="267"/>
  <c r="I12" i="267"/>
  <c r="I14" i="267" s="1"/>
  <c r="C7" i="266"/>
  <c r="E7" i="266"/>
  <c r="D7" i="266"/>
  <c r="B7" i="266"/>
  <c r="A8" i="266"/>
  <c r="G7" i="266"/>
  <c r="H4" i="266"/>
  <c r="C7" i="265"/>
  <c r="E7" i="265"/>
  <c r="B7" i="265"/>
  <c r="D7" i="265"/>
  <c r="G7" i="265"/>
  <c r="A8" i="265"/>
  <c r="E7" i="264"/>
  <c r="D7" i="264"/>
  <c r="B7" i="264"/>
  <c r="C7" i="264"/>
  <c r="G7" i="264"/>
  <c r="A8" i="264"/>
  <c r="AA9" i="260"/>
  <c r="AB9" i="260"/>
  <c r="AC9" i="260"/>
  <c r="Z10" i="260"/>
  <c r="B17" i="253"/>
  <c r="C17" i="253"/>
  <c r="A18" i="253"/>
  <c r="D17" i="253"/>
  <c r="E17" i="253"/>
  <c r="C6" i="253"/>
  <c r="C9" i="253"/>
  <c r="C5" i="253"/>
  <c r="C13" i="253"/>
  <c r="C4" i="253"/>
  <c r="C8" i="253"/>
  <c r="C12" i="253"/>
  <c r="C10" i="253"/>
  <c r="C11" i="253"/>
  <c r="C7" i="253"/>
  <c r="C14" i="253"/>
  <c r="C15" i="253"/>
  <c r="B7" i="253"/>
  <c r="F7" i="253" s="1"/>
  <c r="B4" i="253"/>
  <c r="F4" i="253" s="1"/>
  <c r="B10" i="253"/>
  <c r="F10" i="253" s="1"/>
  <c r="B11" i="253"/>
  <c r="F11" i="253" s="1"/>
  <c r="B6" i="253"/>
  <c r="F6" i="253" s="1"/>
  <c r="B15" i="253"/>
  <c r="F15" i="253" s="1"/>
  <c r="B12" i="253"/>
  <c r="F12" i="253" s="1"/>
  <c r="B9" i="253"/>
  <c r="F9" i="253" s="1"/>
  <c r="B14" i="253"/>
  <c r="F14" i="253" s="1"/>
  <c r="B5" i="253"/>
  <c r="F5" i="253" s="1"/>
  <c r="B13" i="253"/>
  <c r="F13" i="253" s="1"/>
  <c r="B8" i="253"/>
  <c r="F8" i="253" s="1"/>
  <c r="C6" i="252"/>
  <c r="C5" i="252"/>
  <c r="C4" i="252"/>
  <c r="D5" i="252"/>
  <c r="R9" i="252"/>
  <c r="Q11" i="252"/>
  <c r="B7" i="252"/>
  <c r="C7" i="252"/>
  <c r="G7" i="252"/>
  <c r="D7" i="252"/>
  <c r="A8" i="252"/>
  <c r="C6" i="251"/>
  <c r="C4" i="251"/>
  <c r="C5" i="251"/>
  <c r="D5" i="251"/>
  <c r="R9" i="251"/>
  <c r="Q13" i="251"/>
  <c r="F6" i="251" s="1"/>
  <c r="G5" i="251"/>
  <c r="R11" i="251"/>
  <c r="R12" i="251" s="1"/>
  <c r="C7" i="251"/>
  <c r="B7" i="251"/>
  <c r="A8" i="251"/>
  <c r="G7" i="251"/>
  <c r="H7" i="251" s="1"/>
  <c r="D7" i="251"/>
  <c r="B5" i="251"/>
  <c r="B4" i="251"/>
  <c r="B6" i="251"/>
  <c r="A86" i="250"/>
  <c r="E85" i="250"/>
  <c r="D85" i="250"/>
  <c r="C85" i="250"/>
  <c r="B85" i="250"/>
  <c r="F85" i="250" s="1"/>
  <c r="B27" i="249"/>
  <c r="F27" i="249" s="1"/>
  <c r="B36" i="249"/>
  <c r="F36" i="249" s="1"/>
  <c r="B84" i="249"/>
  <c r="F84" i="249" s="1"/>
  <c r="B53" i="249"/>
  <c r="F53" i="249" s="1"/>
  <c r="B56" i="249"/>
  <c r="F56" i="249" s="1"/>
  <c r="B78" i="249"/>
  <c r="F78" i="249" s="1"/>
  <c r="B88" i="249"/>
  <c r="F88" i="249" s="1"/>
  <c r="B57" i="249"/>
  <c r="F57" i="249" s="1"/>
  <c r="B97" i="249"/>
  <c r="F97" i="249" s="1"/>
  <c r="B44" i="249"/>
  <c r="F44" i="249" s="1"/>
  <c r="B67" i="249"/>
  <c r="F67" i="249" s="1"/>
  <c r="B76" i="249"/>
  <c r="F76" i="249" s="1"/>
  <c r="B49" i="249"/>
  <c r="F49" i="249" s="1"/>
  <c r="B12" i="249"/>
  <c r="F12" i="249" s="1"/>
  <c r="B35" i="249"/>
  <c r="F35" i="249" s="1"/>
  <c r="B94" i="249"/>
  <c r="F94" i="249" s="1"/>
  <c r="B59" i="249"/>
  <c r="F59" i="249" s="1"/>
  <c r="B69" i="249"/>
  <c r="F69" i="249" s="1"/>
  <c r="B73" i="249"/>
  <c r="F73" i="249" s="1"/>
  <c r="B8" i="249"/>
  <c r="F8" i="249" s="1"/>
  <c r="B74" i="249"/>
  <c r="F74" i="249" s="1"/>
  <c r="B72" i="249"/>
  <c r="F72" i="249" s="1"/>
  <c r="B60" i="249"/>
  <c r="F60" i="249" s="1"/>
  <c r="B5" i="249"/>
  <c r="F5" i="249" s="1"/>
  <c r="B66" i="249"/>
  <c r="F66" i="249" s="1"/>
  <c r="B63" i="249"/>
  <c r="F63" i="249" s="1"/>
  <c r="B61" i="249"/>
  <c r="F61" i="249" s="1"/>
  <c r="B65" i="249"/>
  <c r="F65" i="249" s="1"/>
  <c r="B89" i="249"/>
  <c r="F89" i="249" s="1"/>
  <c r="B52" i="249"/>
  <c r="F52" i="249" s="1"/>
  <c r="B91" i="249"/>
  <c r="F91" i="249" s="1"/>
  <c r="B83" i="249"/>
  <c r="F83" i="249" s="1"/>
  <c r="B92" i="249"/>
  <c r="F92" i="249" s="1"/>
  <c r="B85" i="249"/>
  <c r="F85" i="249" s="1"/>
  <c r="B64" i="249"/>
  <c r="F64" i="249" s="1"/>
  <c r="B51" i="249"/>
  <c r="F51" i="249" s="1"/>
  <c r="B62" i="249"/>
  <c r="F62" i="249" s="1"/>
  <c r="B77" i="249"/>
  <c r="F77" i="249" s="1"/>
  <c r="B50" i="249"/>
  <c r="F50" i="249" s="1"/>
  <c r="B48" i="249"/>
  <c r="F48" i="249" s="1"/>
  <c r="B70" i="249"/>
  <c r="F70" i="249" s="1"/>
  <c r="B30" i="249"/>
  <c r="F30" i="249" s="1"/>
  <c r="B7" i="249"/>
  <c r="F7" i="249" s="1"/>
  <c r="B99" i="249"/>
  <c r="F99" i="249" s="1"/>
  <c r="B6" i="249"/>
  <c r="F6" i="249" s="1"/>
  <c r="B100" i="249"/>
  <c r="F100" i="249" s="1"/>
  <c r="B4" i="249"/>
  <c r="F4" i="249" s="1"/>
  <c r="B86" i="249"/>
  <c r="F86" i="249" s="1"/>
  <c r="B26" i="249"/>
  <c r="F26" i="249" s="1"/>
  <c r="B90" i="249"/>
  <c r="F90" i="249" s="1"/>
  <c r="B103" i="249"/>
  <c r="F103" i="249" s="1"/>
  <c r="B104" i="249"/>
  <c r="F104" i="249" s="1"/>
  <c r="B25" i="249"/>
  <c r="F25" i="249" s="1"/>
  <c r="B58" i="249"/>
  <c r="F58" i="249" s="1"/>
  <c r="B71" i="249"/>
  <c r="F71" i="249" s="1"/>
  <c r="B42" i="249"/>
  <c r="F42" i="249" s="1"/>
  <c r="B24" i="249"/>
  <c r="F24" i="249" s="1"/>
  <c r="B23" i="249"/>
  <c r="F23" i="249" s="1"/>
  <c r="B28" i="249"/>
  <c r="F28" i="249" s="1"/>
  <c r="B29" i="249"/>
  <c r="F29" i="249" s="1"/>
  <c r="B32" i="249"/>
  <c r="F32" i="249" s="1"/>
  <c r="B33" i="249"/>
  <c r="F33" i="249" s="1"/>
  <c r="B34" i="249"/>
  <c r="F34" i="249" s="1"/>
  <c r="B39" i="249"/>
  <c r="F39" i="249" s="1"/>
  <c r="B22" i="249"/>
  <c r="F22" i="249" s="1"/>
  <c r="B87" i="249"/>
  <c r="F87" i="249" s="1"/>
  <c r="B45" i="249"/>
  <c r="F45" i="249" s="1"/>
  <c r="B37" i="249"/>
  <c r="F37" i="249" s="1"/>
  <c r="B47" i="249"/>
  <c r="F47" i="249" s="1"/>
  <c r="B21" i="249"/>
  <c r="F21" i="249" s="1"/>
  <c r="B75" i="249"/>
  <c r="F75" i="249" s="1"/>
  <c r="B20" i="249"/>
  <c r="F20" i="249" s="1"/>
  <c r="B40" i="249"/>
  <c r="F40" i="249" s="1"/>
  <c r="B19" i="249"/>
  <c r="F19" i="249" s="1"/>
  <c r="B31" i="249"/>
  <c r="F31" i="249" s="1"/>
  <c r="B54" i="249"/>
  <c r="F54" i="249" s="1"/>
  <c r="B79" i="249"/>
  <c r="F79" i="249" s="1"/>
  <c r="B18" i="249"/>
  <c r="F18" i="249" s="1"/>
  <c r="B15" i="249"/>
  <c r="F15" i="249" s="1"/>
  <c r="B38" i="249"/>
  <c r="F38" i="249" s="1"/>
  <c r="B98" i="249"/>
  <c r="F98" i="249" s="1"/>
  <c r="B101" i="249"/>
  <c r="F101" i="249" s="1"/>
  <c r="B93" i="249"/>
  <c r="F93" i="249" s="1"/>
  <c r="B80" i="249"/>
  <c r="F80" i="249" s="1"/>
  <c r="B41" i="249"/>
  <c r="F41" i="249" s="1"/>
  <c r="B46" i="249"/>
  <c r="F46" i="249" s="1"/>
  <c r="B13" i="249"/>
  <c r="F13" i="249" s="1"/>
  <c r="B82" i="249"/>
  <c r="F82" i="249" s="1"/>
  <c r="B96" i="249"/>
  <c r="F96" i="249" s="1"/>
  <c r="B10" i="249"/>
  <c r="F10" i="249" s="1"/>
  <c r="B68" i="249"/>
  <c r="F68" i="249" s="1"/>
  <c r="B16" i="249"/>
  <c r="F16" i="249" s="1"/>
  <c r="B14" i="249"/>
  <c r="F14" i="249" s="1"/>
  <c r="B11" i="249"/>
  <c r="F11" i="249" s="1"/>
  <c r="B102" i="249"/>
  <c r="F102" i="249" s="1"/>
  <c r="B95" i="249"/>
  <c r="F95" i="249" s="1"/>
  <c r="B81" i="249"/>
  <c r="F81" i="249" s="1"/>
  <c r="B9" i="249"/>
  <c r="F9" i="249" s="1"/>
  <c r="B17" i="249"/>
  <c r="F17" i="249" s="1"/>
  <c r="B55" i="249"/>
  <c r="F55" i="249" s="1"/>
  <c r="B43" i="249"/>
  <c r="F43" i="249" s="1"/>
  <c r="C53" i="248"/>
  <c r="C36" i="248"/>
  <c r="C41" i="248"/>
  <c r="C43" i="248"/>
  <c r="C47" i="248"/>
  <c r="C82" i="248"/>
  <c r="C42" i="248"/>
  <c r="C45" i="248"/>
  <c r="C10" i="248"/>
  <c r="C61" i="248"/>
  <c r="C59" i="248"/>
  <c r="C17" i="248"/>
  <c r="C11" i="248"/>
  <c r="C37" i="248"/>
  <c r="C56" i="248"/>
  <c r="C16" i="248"/>
  <c r="C54" i="248"/>
  <c r="C46" i="248"/>
  <c r="C79" i="248"/>
  <c r="C77" i="248"/>
  <c r="C13" i="248"/>
  <c r="C51" i="248"/>
  <c r="C32" i="248"/>
  <c r="C33" i="248"/>
  <c r="C15" i="248"/>
  <c r="C35" i="248"/>
  <c r="C39" i="248"/>
  <c r="C38" i="248"/>
  <c r="C80" i="248"/>
  <c r="C92" i="248"/>
  <c r="C76" i="248"/>
  <c r="C85" i="248"/>
  <c r="C67" i="248"/>
  <c r="C58" i="248"/>
  <c r="C6" i="248"/>
  <c r="C71" i="248"/>
  <c r="C14" i="248"/>
  <c r="C48" i="248"/>
  <c r="C62" i="248"/>
  <c r="C40" i="248"/>
  <c r="C74" i="248"/>
  <c r="C75" i="248"/>
  <c r="C29" i="248"/>
  <c r="C90" i="248"/>
  <c r="C83" i="248"/>
  <c r="C89" i="248"/>
  <c r="C12" i="248"/>
  <c r="C87" i="248"/>
  <c r="C18" i="248"/>
  <c r="C86" i="248"/>
  <c r="C19" i="248"/>
  <c r="C88" i="248"/>
  <c r="C20" i="248"/>
  <c r="C91" i="248"/>
  <c r="C21" i="248"/>
  <c r="C81" i="248"/>
  <c r="C22" i="248"/>
  <c r="C94" i="248"/>
  <c r="C23" i="248"/>
  <c r="C4" i="248"/>
  <c r="C24" i="248"/>
  <c r="C73" i="248"/>
  <c r="C25" i="248"/>
  <c r="C97" i="248"/>
  <c r="C26" i="248"/>
  <c r="C98" i="248"/>
  <c r="C27" i="248"/>
  <c r="C100" i="248"/>
  <c r="C28" i="248"/>
  <c r="C30" i="248"/>
  <c r="C31" i="248"/>
  <c r="C34" i="248"/>
  <c r="C44" i="248"/>
  <c r="C57" i="248"/>
  <c r="C101" i="248"/>
  <c r="C49" i="248"/>
  <c r="C50" i="248"/>
  <c r="C52" i="248"/>
  <c r="C55" i="248"/>
  <c r="C102" i="248"/>
  <c r="C103" i="248"/>
  <c r="C69" i="248"/>
  <c r="C104" i="248"/>
  <c r="C60" i="248"/>
  <c r="C63" i="248"/>
  <c r="C68" i="248"/>
  <c r="C65" i="248"/>
  <c r="C5" i="248"/>
  <c r="C72" i="248"/>
  <c r="C66" i="248"/>
  <c r="C7" i="248"/>
  <c r="C78" i="248"/>
  <c r="C84" i="248"/>
  <c r="C8" i="248"/>
  <c r="C64" i="248"/>
  <c r="C93" i="248"/>
  <c r="C95" i="248"/>
  <c r="C96" i="248"/>
  <c r="C9" i="248"/>
  <c r="C70" i="248"/>
  <c r="C99" i="248"/>
  <c r="E37" i="248"/>
  <c r="E16" i="248"/>
  <c r="E95" i="248"/>
  <c r="E35" i="248"/>
  <c r="E7" i="248"/>
  <c r="E17" i="248"/>
  <c r="E31" i="248"/>
  <c r="E98" i="248"/>
  <c r="E43" i="248"/>
  <c r="E18" i="248"/>
  <c r="E69" i="248"/>
  <c r="E68" i="248"/>
  <c r="E81" i="248"/>
  <c r="E19" i="248"/>
  <c r="E66" i="248"/>
  <c r="E30" i="248"/>
  <c r="E36" i="248"/>
  <c r="E20" i="248"/>
  <c r="E61" i="248"/>
  <c r="E33" i="248"/>
  <c r="E75" i="248"/>
  <c r="E21" i="248"/>
  <c r="E65" i="248"/>
  <c r="E38" i="248"/>
  <c r="E63" i="248"/>
  <c r="E22" i="248"/>
  <c r="E60" i="248"/>
  <c r="E41" i="248"/>
  <c r="E54" i="248"/>
  <c r="E23" i="248"/>
  <c r="E42" i="248"/>
  <c r="E49" i="248"/>
  <c r="E40" i="248"/>
  <c r="E24" i="248"/>
  <c r="E32" i="248"/>
  <c r="E44" i="248"/>
  <c r="E29" i="248"/>
  <c r="E25" i="248"/>
  <c r="E34" i="248"/>
  <c r="E50" i="248"/>
  <c r="E13" i="248"/>
  <c r="E26" i="248"/>
  <c r="E12" i="248"/>
  <c r="E39" i="248"/>
  <c r="E99" i="248"/>
  <c r="E27" i="248"/>
  <c r="E100" i="248"/>
  <c r="E55" i="248"/>
  <c r="E11" i="248"/>
  <c r="E94" i="248"/>
  <c r="E10" i="248"/>
  <c r="E28" i="248"/>
  <c r="E9" i="248"/>
  <c r="E8" i="248"/>
  <c r="E6" i="248"/>
  <c r="E46" i="248"/>
  <c r="E104" i="248"/>
  <c r="E48" i="248"/>
  <c r="E103" i="248"/>
  <c r="E102" i="248"/>
  <c r="E51" i="248"/>
  <c r="E101" i="248"/>
  <c r="E53" i="248"/>
  <c r="E97" i="248"/>
  <c r="E96" i="248"/>
  <c r="E56" i="248"/>
  <c r="E78" i="248"/>
  <c r="E57" i="248"/>
  <c r="E93" i="248"/>
  <c r="E58" i="248"/>
  <c r="E79" i="248"/>
  <c r="E59" i="248"/>
  <c r="E92" i="248"/>
  <c r="E80" i="248"/>
  <c r="E91" i="248"/>
  <c r="E64" i="248"/>
  <c r="E4" i="248"/>
  <c r="E67" i="248"/>
  <c r="E83" i="248"/>
  <c r="E90" i="248"/>
  <c r="E70" i="248"/>
  <c r="E71" i="248"/>
  <c r="E86" i="248"/>
  <c r="E85" i="248"/>
  <c r="E87" i="248"/>
  <c r="E5" i="248"/>
  <c r="E84" i="248"/>
  <c r="E82" i="248"/>
  <c r="E77" i="248"/>
  <c r="E74" i="248"/>
  <c r="E73" i="248"/>
  <c r="E72" i="248"/>
  <c r="E88" i="248"/>
  <c r="E14" i="248"/>
  <c r="E62" i="248"/>
  <c r="E89" i="248"/>
  <c r="E52" i="248"/>
  <c r="E76" i="248"/>
  <c r="E45" i="248"/>
  <c r="E47" i="248"/>
  <c r="E15" i="248"/>
  <c r="D41" i="248"/>
  <c r="D48" i="248"/>
  <c r="D21" i="248"/>
  <c r="D54" i="248"/>
  <c r="D63" i="248"/>
  <c r="D22" i="248"/>
  <c r="D65" i="248"/>
  <c r="D66" i="248"/>
  <c r="D23" i="248"/>
  <c r="D69" i="248"/>
  <c r="D70" i="248"/>
  <c r="D24" i="248"/>
  <c r="D78" i="248"/>
  <c r="D80" i="248"/>
  <c r="D25" i="248"/>
  <c r="D90" i="248"/>
  <c r="D10" i="248"/>
  <c r="D26" i="248"/>
  <c r="D94" i="248"/>
  <c r="D95" i="248"/>
  <c r="D27" i="248"/>
  <c r="D99" i="248"/>
  <c r="D100" i="248"/>
  <c r="D29" i="248"/>
  <c r="D101" i="248"/>
  <c r="D102" i="248"/>
  <c r="D103" i="248"/>
  <c r="D43" i="248"/>
  <c r="D104" i="248"/>
  <c r="D4" i="248"/>
  <c r="D5" i="248"/>
  <c r="D6" i="248"/>
  <c r="D8" i="248"/>
  <c r="D9" i="248"/>
  <c r="D11" i="248"/>
  <c r="D12" i="248"/>
  <c r="D40" i="248"/>
  <c r="D42" i="248"/>
  <c r="D45" i="248"/>
  <c r="D47" i="248"/>
  <c r="D50" i="248"/>
  <c r="D56" i="248"/>
  <c r="D59" i="248"/>
  <c r="D61" i="248"/>
  <c r="D68" i="248"/>
  <c r="D71" i="248"/>
  <c r="D73" i="248"/>
  <c r="D74" i="248"/>
  <c r="D76" i="248"/>
  <c r="D75" i="248"/>
  <c r="D77" i="248"/>
  <c r="D92" i="248"/>
  <c r="D79" i="248"/>
  <c r="D81" i="248"/>
  <c r="D96" i="248"/>
  <c r="D86" i="248"/>
  <c r="D28" i="248"/>
  <c r="D87" i="248"/>
  <c r="D30" i="248"/>
  <c r="D51" i="248"/>
  <c r="D52" i="248"/>
  <c r="D55" i="248"/>
  <c r="D58" i="248"/>
  <c r="D97" i="248"/>
  <c r="D60" i="248"/>
  <c r="D98" i="248"/>
  <c r="D62" i="248"/>
  <c r="D64" i="248"/>
  <c r="D67" i="248"/>
  <c r="D72" i="248"/>
  <c r="D83" i="248"/>
  <c r="D85" i="248"/>
  <c r="D89" i="248"/>
  <c r="D93" i="248"/>
  <c r="D7" i="248"/>
  <c r="D13" i="248"/>
  <c r="D31" i="248"/>
  <c r="D35" i="248"/>
  <c r="D36" i="248"/>
  <c r="D37" i="248"/>
  <c r="D44" i="248"/>
  <c r="D46" i="248"/>
  <c r="D49" i="248"/>
  <c r="D53" i="248"/>
  <c r="D57" i="248"/>
  <c r="D82" i="248"/>
  <c r="D84" i="248"/>
  <c r="D88" i="248"/>
  <c r="D91" i="248"/>
  <c r="D14" i="248"/>
  <c r="D15" i="248"/>
  <c r="D16" i="248"/>
  <c r="D17" i="248"/>
  <c r="D32" i="248"/>
  <c r="D18" i="248"/>
  <c r="D33" i="248"/>
  <c r="D34" i="248"/>
  <c r="D19" i="248"/>
  <c r="D38" i="248"/>
  <c r="D39" i="248"/>
  <c r="D20" i="248"/>
  <c r="B15" i="248"/>
  <c r="B31" i="248"/>
  <c r="B32" i="248"/>
  <c r="B63" i="248"/>
  <c r="B61" i="248"/>
  <c r="B75" i="248"/>
  <c r="B35" i="248"/>
  <c r="B8" i="248"/>
  <c r="B65" i="248"/>
  <c r="B53" i="248"/>
  <c r="B39" i="248"/>
  <c r="B76" i="248"/>
  <c r="B7" i="248"/>
  <c r="B17" i="248"/>
  <c r="B44" i="248"/>
  <c r="B96" i="248"/>
  <c r="B62" i="248"/>
  <c r="B16" i="248"/>
  <c r="B4" i="248"/>
  <c r="B49" i="248"/>
  <c r="B51" i="248"/>
  <c r="B72" i="248"/>
  <c r="B90" i="248"/>
  <c r="B99" i="248"/>
  <c r="B73" i="248"/>
  <c r="B100" i="248"/>
  <c r="B83" i="248"/>
  <c r="B36" i="248"/>
  <c r="B33" i="248"/>
  <c r="B86" i="248"/>
  <c r="B101" i="248"/>
  <c r="B6" i="248"/>
  <c r="B29" i="248"/>
  <c r="B14" i="248"/>
  <c r="B71" i="248"/>
  <c r="B95" i="248"/>
  <c r="B102" i="248"/>
  <c r="B92" i="248"/>
  <c r="B89" i="248"/>
  <c r="B5" i="248"/>
  <c r="B81" i="248"/>
  <c r="B91" i="248"/>
  <c r="B103" i="248"/>
  <c r="B30" i="248"/>
  <c r="B9" i="248"/>
  <c r="B54" i="248"/>
  <c r="B93" i="248"/>
  <c r="B94" i="248"/>
  <c r="B37" i="248"/>
  <c r="B52" i="248"/>
  <c r="B50" i="248"/>
  <c r="B40" i="248"/>
  <c r="B43" i="248"/>
  <c r="B60" i="248"/>
  <c r="B38" i="248"/>
  <c r="B23" i="248"/>
  <c r="B18" i="248"/>
  <c r="B84" i="248"/>
  <c r="B10" i="248"/>
  <c r="B85" i="248"/>
  <c r="B82" i="248"/>
  <c r="B104" i="248"/>
  <c r="B80" i="248"/>
  <c r="B79" i="248"/>
  <c r="B11" i="248"/>
  <c r="B55" i="248"/>
  <c r="B12" i="248"/>
  <c r="B34" i="248"/>
  <c r="B78" i="248"/>
  <c r="B48" i="248"/>
  <c r="B42" i="248"/>
  <c r="B46" i="248"/>
  <c r="B41" i="248"/>
  <c r="B66" i="248"/>
  <c r="B67" i="248"/>
  <c r="B13" i="248"/>
  <c r="B69" i="248"/>
  <c r="B70" i="248"/>
  <c r="B19" i="248"/>
  <c r="B20" i="248"/>
  <c r="B21" i="248"/>
  <c r="B22" i="248"/>
  <c r="B24" i="248"/>
  <c r="B25" i="248"/>
  <c r="B26" i="248"/>
  <c r="B27" i="248"/>
  <c r="B28" i="248"/>
  <c r="B45" i="248"/>
  <c r="B47" i="248"/>
  <c r="B56" i="248"/>
  <c r="B57" i="248"/>
  <c r="B58" i="248"/>
  <c r="B59" i="248"/>
  <c r="B64" i="248"/>
  <c r="B68" i="248"/>
  <c r="B74" i="248"/>
  <c r="B77" i="248"/>
  <c r="B87" i="248"/>
  <c r="B88" i="248"/>
  <c r="B97" i="248"/>
  <c r="B98" i="248"/>
  <c r="F9" i="247"/>
  <c r="B12" i="247" s="1"/>
  <c r="E9" i="247"/>
  <c r="B11" i="247" s="1"/>
  <c r="E9" i="246"/>
  <c r="F9" i="246"/>
  <c r="B12" i="246" s="1"/>
  <c r="D6" i="245"/>
  <c r="E6" i="245" s="1"/>
  <c r="F6" i="245"/>
  <c r="D8" i="245"/>
  <c r="E8" i="245" s="1"/>
  <c r="F8" i="245"/>
  <c r="D8" i="244"/>
  <c r="E8" i="244" s="1"/>
  <c r="F8" i="244"/>
  <c r="F6" i="244"/>
  <c r="F9" i="244" s="1"/>
  <c r="D6" i="244"/>
  <c r="E6" i="244" s="1"/>
  <c r="E9" i="244" s="1"/>
  <c r="I4" i="244" s="1"/>
  <c r="G70" i="240"/>
  <c r="H6" i="240" s="1"/>
  <c r="H11" i="240"/>
  <c r="H51" i="240"/>
  <c r="H63" i="240"/>
  <c r="H65" i="240"/>
  <c r="H21" i="240"/>
  <c r="H24" i="240"/>
  <c r="H27" i="240"/>
  <c r="H31" i="240"/>
  <c r="H34" i="240"/>
  <c r="H37" i="240"/>
  <c r="H40" i="240"/>
  <c r="H43" i="240"/>
  <c r="H46" i="240"/>
  <c r="H49" i="240"/>
  <c r="H52" i="240"/>
  <c r="H55" i="240"/>
  <c r="H58" i="240"/>
  <c r="H61" i="240"/>
  <c r="H64" i="240"/>
  <c r="H67" i="240"/>
  <c r="H20" i="240"/>
  <c r="H29" i="240"/>
  <c r="H39" i="240"/>
  <c r="H48" i="240"/>
  <c r="H60" i="240"/>
  <c r="H53" i="240"/>
  <c r="H62" i="240"/>
  <c r="H8" i="240"/>
  <c r="H14" i="240"/>
  <c r="H23" i="240"/>
  <c r="H26" i="240"/>
  <c r="H35" i="240"/>
  <c r="H42" i="240"/>
  <c r="H54" i="240"/>
  <c r="H66" i="240"/>
  <c r="H56" i="240"/>
  <c r="H68" i="240"/>
  <c r="H17" i="240"/>
  <c r="H32" i="240"/>
  <c r="H45" i="240"/>
  <c r="H57" i="240"/>
  <c r="H69" i="240"/>
  <c r="H50" i="240"/>
  <c r="H59" i="240"/>
  <c r="B34" i="239"/>
  <c r="B44" i="239" s="1"/>
  <c r="B57" i="239" s="1"/>
  <c r="B25" i="239"/>
  <c r="I5" i="239"/>
  <c r="H6" i="239"/>
  <c r="B34" i="238"/>
  <c r="B44" i="238" s="1"/>
  <c r="B57" i="238" s="1"/>
  <c r="B25" i="238"/>
  <c r="D55" i="238"/>
  <c r="D56" i="238"/>
  <c r="D57" i="238"/>
  <c r="D58" i="238"/>
  <c r="D59" i="238"/>
  <c r="D60" i="238"/>
  <c r="B34" i="237"/>
  <c r="B44" i="237" s="1"/>
  <c r="B57" i="237" s="1"/>
  <c r="B25" i="237"/>
  <c r="D55" i="237"/>
  <c r="D56" i="237"/>
  <c r="D57" i="237"/>
  <c r="D58" i="237"/>
  <c r="D59" i="237"/>
  <c r="D60" i="237"/>
  <c r="B34" i="236"/>
  <c r="B44" i="236" s="1"/>
  <c r="B57" i="236" s="1"/>
  <c r="B25" i="236"/>
  <c r="K8" i="235"/>
  <c r="J9" i="235"/>
  <c r="J9" i="234"/>
  <c r="K8" i="234"/>
  <c r="L16" i="227"/>
  <c r="L30" i="227" s="1"/>
  <c r="H6" i="227"/>
  <c r="G17" i="227"/>
  <c r="I15" i="227"/>
  <c r="H14" i="227"/>
  <c r="G4" i="226"/>
  <c r="F16" i="226"/>
  <c r="G13" i="226"/>
  <c r="G4" i="225"/>
  <c r="F16" i="225"/>
  <c r="P5" i="224"/>
  <c r="O14" i="224"/>
  <c r="K5" i="224"/>
  <c r="J13" i="224"/>
  <c r="G9" i="224"/>
  <c r="G11" i="224"/>
  <c r="AA9" i="210"/>
  <c r="AB9" i="210"/>
  <c r="AC9" i="210"/>
  <c r="Z10" i="210"/>
  <c r="F4" i="204"/>
  <c r="D4" i="204"/>
  <c r="E4" i="204" s="1"/>
  <c r="C5" i="204"/>
  <c r="A6" i="204"/>
  <c r="D4" i="202"/>
  <c r="E4" i="202" s="1"/>
  <c r="F4" i="202"/>
  <c r="A6" i="202"/>
  <c r="C5" i="202"/>
  <c r="H44" i="185"/>
  <c r="I44" i="185" s="1"/>
  <c r="E41" i="185" s="1"/>
  <c r="F41" i="185" s="1"/>
  <c r="D40" i="185"/>
  <c r="B40" i="185"/>
  <c r="A39" i="185"/>
  <c r="H27" i="185"/>
  <c r="B26" i="185"/>
  <c r="A24" i="185"/>
  <c r="C31" i="185" s="1"/>
  <c r="C32" i="185" s="1"/>
  <c r="D26" i="185"/>
  <c r="F29" i="185"/>
  <c r="H31" i="185"/>
  <c r="H48" i="185" s="1"/>
  <c r="I38" i="185"/>
  <c r="H49" i="185"/>
  <c r="F43" i="185"/>
  <c r="H47" i="185"/>
  <c r="H30" i="185"/>
  <c r="H27" i="184"/>
  <c r="I27" i="184" s="1"/>
  <c r="E27" i="184" s="1"/>
  <c r="F27" i="184" s="1"/>
  <c r="B26" i="184"/>
  <c r="D26" i="184"/>
  <c r="A24" i="184"/>
  <c r="C31" i="184" s="1"/>
  <c r="C32" i="184" s="1"/>
  <c r="F29" i="184"/>
  <c r="H31" i="184"/>
  <c r="H30" i="184"/>
  <c r="I30" i="184" s="1"/>
  <c r="E28" i="184" s="1"/>
  <c r="F28" i="184" s="1"/>
  <c r="F10" i="181"/>
  <c r="E11" i="181"/>
  <c r="B12" i="181"/>
  <c r="G6" i="178"/>
  <c r="I6" i="178"/>
  <c r="F7" i="176"/>
  <c r="G7" i="176" s="1"/>
  <c r="H7" i="176" s="1"/>
  <c r="B9" i="174"/>
  <c r="D8" i="174"/>
  <c r="K8" i="167"/>
  <c r="J9" i="167"/>
  <c r="J9" i="166"/>
  <c r="K9" i="166" s="1"/>
  <c r="K8" i="166"/>
  <c r="K7" i="165"/>
  <c r="J8" i="165"/>
  <c r="M10" i="164"/>
  <c r="N10" i="164"/>
  <c r="L11" i="164"/>
  <c r="J7" i="163"/>
  <c r="I8" i="163"/>
  <c r="A8" i="158"/>
  <c r="H20" i="157"/>
  <c r="G20" i="157"/>
  <c r="F20" i="157"/>
  <c r="B21" i="157"/>
  <c r="A8" i="157"/>
  <c r="AB9" i="156"/>
  <c r="AA9" i="156"/>
  <c r="AC9" i="156"/>
  <c r="Z10" i="156"/>
  <c r="G16" i="155"/>
  <c r="F16" i="155"/>
  <c r="E16" i="155"/>
  <c r="H13" i="155"/>
  <c r="H16" i="155" s="1"/>
  <c r="C17" i="155"/>
  <c r="D17" i="155" s="1"/>
  <c r="B18" i="155"/>
  <c r="G24" i="155"/>
  <c r="G14" i="155"/>
  <c r="E4" i="151"/>
  <c r="D5" i="151"/>
  <c r="C6" i="151"/>
  <c r="G3" i="151"/>
  <c r="H3" i="151" s="1"/>
  <c r="I3" i="151"/>
  <c r="G4" i="150"/>
  <c r="H4" i="150" s="1"/>
  <c r="I4" i="150"/>
  <c r="B15" i="275" l="1"/>
  <c r="C15" i="275"/>
  <c r="D15" i="275"/>
  <c r="E15" i="275"/>
  <c r="F15" i="275"/>
  <c r="G15" i="275"/>
  <c r="A16" i="275"/>
  <c r="H14" i="275"/>
  <c r="F7" i="273"/>
  <c r="F4" i="273"/>
  <c r="F5" i="273"/>
  <c r="D8" i="273"/>
  <c r="A9" i="273"/>
  <c r="B8" i="273"/>
  <c r="C8" i="273"/>
  <c r="E8" i="273"/>
  <c r="F7" i="272"/>
  <c r="C8" i="272"/>
  <c r="E8" i="272"/>
  <c r="A9" i="272"/>
  <c r="B8" i="272"/>
  <c r="D8" i="272"/>
  <c r="F5" i="272"/>
  <c r="F4" i="272"/>
  <c r="F7" i="266"/>
  <c r="H7" i="266" s="1"/>
  <c r="F61" i="248"/>
  <c r="F96" i="248"/>
  <c r="F4" i="248"/>
  <c r="F72" i="248"/>
  <c r="F99" i="248"/>
  <c r="F83" i="248"/>
  <c r="F18" i="248"/>
  <c r="F79" i="248"/>
  <c r="F34" i="248"/>
  <c r="F42" i="248"/>
  <c r="F67" i="248"/>
  <c r="F69" i="248"/>
  <c r="F21" i="248"/>
  <c r="F22" i="248"/>
  <c r="F25" i="248"/>
  <c r="F27" i="248"/>
  <c r="F32" i="248"/>
  <c r="F35" i="248"/>
  <c r="F65" i="248"/>
  <c r="F53" i="248"/>
  <c r="F39" i="248"/>
  <c r="F76" i="248"/>
  <c r="F7" i="248"/>
  <c r="F17" i="248"/>
  <c r="F44" i="248"/>
  <c r="F62" i="248"/>
  <c r="F16" i="248"/>
  <c r="F49" i="248"/>
  <c r="F51" i="248"/>
  <c r="F90" i="248"/>
  <c r="F73" i="248"/>
  <c r="F100" i="248"/>
  <c r="F60" i="248"/>
  <c r="F82" i="248"/>
  <c r="F12" i="248"/>
  <c r="F78" i="248"/>
  <c r="F46" i="248"/>
  <c r="F66" i="248"/>
  <c r="F19" i="248"/>
  <c r="F20" i="248"/>
  <c r="F24" i="248"/>
  <c r="F26" i="248"/>
  <c r="F31" i="248"/>
  <c r="F75" i="248"/>
  <c r="F37" i="248"/>
  <c r="F50" i="248"/>
  <c r="F40" i="248"/>
  <c r="F85" i="248"/>
  <c r="F55" i="248"/>
  <c r="F48" i="248"/>
  <c r="F41" i="248"/>
  <c r="F13" i="248"/>
  <c r="F70" i="248"/>
  <c r="K11" i="166"/>
  <c r="K18" i="270"/>
  <c r="I20" i="270"/>
  <c r="J19" i="270"/>
  <c r="I14" i="270"/>
  <c r="J15" i="270"/>
  <c r="K16" i="270"/>
  <c r="K18" i="269"/>
  <c r="J19" i="269"/>
  <c r="I20" i="269"/>
  <c r="I14" i="269"/>
  <c r="J15" i="269"/>
  <c r="K16" i="269"/>
  <c r="R8" i="267"/>
  <c r="L11" i="267" s="1"/>
  <c r="K11" i="267"/>
  <c r="K13" i="267" s="1"/>
  <c r="K10" i="267"/>
  <c r="K12" i="267" s="1"/>
  <c r="K14" i="267" s="1"/>
  <c r="Q8" i="267"/>
  <c r="L10" i="267" s="1"/>
  <c r="L12" i="267" s="1"/>
  <c r="L21" i="267"/>
  <c r="L35" i="267" s="1"/>
  <c r="K20" i="267"/>
  <c r="J19" i="267"/>
  <c r="J25" i="267"/>
  <c r="I26" i="267"/>
  <c r="K24" i="267"/>
  <c r="B8" i="266"/>
  <c r="D8" i="266"/>
  <c r="C8" i="266"/>
  <c r="E8" i="266"/>
  <c r="G8" i="266"/>
  <c r="A9" i="266"/>
  <c r="D8" i="265"/>
  <c r="E8" i="265"/>
  <c r="B8" i="265"/>
  <c r="C8" i="265"/>
  <c r="G8" i="265"/>
  <c r="A9" i="265"/>
  <c r="F7" i="265"/>
  <c r="H7" i="265" s="1"/>
  <c r="D8" i="264"/>
  <c r="E8" i="264"/>
  <c r="B8" i="264"/>
  <c r="C8" i="264"/>
  <c r="A9" i="264"/>
  <c r="G8" i="264"/>
  <c r="F7" i="264"/>
  <c r="H7" i="264" s="1"/>
  <c r="AA10" i="260"/>
  <c r="AB10" i="260"/>
  <c r="AC10" i="260"/>
  <c r="Z11" i="260"/>
  <c r="AD9" i="260"/>
  <c r="B18" i="253"/>
  <c r="A19" i="253"/>
  <c r="C18" i="253"/>
  <c r="E18" i="253"/>
  <c r="D18" i="253"/>
  <c r="F17" i="253"/>
  <c r="E5" i="252"/>
  <c r="D4" i="252"/>
  <c r="G6" i="252"/>
  <c r="H6" i="252" s="1"/>
  <c r="G5" i="252"/>
  <c r="R11" i="252"/>
  <c r="R12" i="252" s="1"/>
  <c r="R13" i="252"/>
  <c r="I6" i="252" s="1"/>
  <c r="B8" i="252"/>
  <c r="C8" i="252"/>
  <c r="D8" i="252"/>
  <c r="A9" i="252"/>
  <c r="G8" i="252"/>
  <c r="Q12" i="252"/>
  <c r="Q13" i="252"/>
  <c r="F6" i="252" s="1"/>
  <c r="H7" i="252"/>
  <c r="I7" i="252"/>
  <c r="E7" i="252"/>
  <c r="F7" i="252"/>
  <c r="D4" i="251"/>
  <c r="E5" i="251"/>
  <c r="G6" i="251"/>
  <c r="H6" i="251" s="1"/>
  <c r="R13" i="251"/>
  <c r="H5" i="251"/>
  <c r="H4" i="251" s="1"/>
  <c r="G4" i="251"/>
  <c r="I4" i="251" s="1"/>
  <c r="B8" i="251"/>
  <c r="C8" i="251"/>
  <c r="A9" i="251"/>
  <c r="D8" i="251"/>
  <c r="G8" i="251"/>
  <c r="E7" i="251"/>
  <c r="F7" i="251"/>
  <c r="J7" i="251" s="1"/>
  <c r="A87" i="250"/>
  <c r="E86" i="250"/>
  <c r="D86" i="250"/>
  <c r="C86" i="250"/>
  <c r="B86" i="250"/>
  <c r="F86" i="250" s="1"/>
  <c r="F15" i="248"/>
  <c r="F63" i="248"/>
  <c r="F8" i="248"/>
  <c r="F36" i="248"/>
  <c r="F33" i="248"/>
  <c r="F86" i="248"/>
  <c r="F101" i="248"/>
  <c r="F6" i="248"/>
  <c r="F29" i="248"/>
  <c r="F14" i="248"/>
  <c r="F71" i="248"/>
  <c r="F95" i="248"/>
  <c r="F102" i="248"/>
  <c r="F92" i="248"/>
  <c r="F89" i="248"/>
  <c r="F5" i="248"/>
  <c r="F81" i="248"/>
  <c r="F91" i="248"/>
  <c r="F103" i="248"/>
  <c r="F30" i="248"/>
  <c r="F9" i="248"/>
  <c r="F54" i="248"/>
  <c r="F93" i="248"/>
  <c r="F94" i="248"/>
  <c r="F52" i="248"/>
  <c r="F43" i="248"/>
  <c r="F38" i="248"/>
  <c r="F23" i="248"/>
  <c r="F84" i="248"/>
  <c r="F10" i="248"/>
  <c r="F104" i="248"/>
  <c r="F80" i="248"/>
  <c r="F11" i="248"/>
  <c r="F28" i="248"/>
  <c r="F45" i="248"/>
  <c r="F47" i="248"/>
  <c r="F56" i="248"/>
  <c r="F57" i="248"/>
  <c r="F58" i="248"/>
  <c r="F59" i="248"/>
  <c r="F64" i="248"/>
  <c r="F68" i="248"/>
  <c r="F74" i="248"/>
  <c r="F77" i="248"/>
  <c r="F87" i="248"/>
  <c r="F88" i="248"/>
  <c r="F97" i="248"/>
  <c r="F98" i="248"/>
  <c r="B11" i="246"/>
  <c r="E9" i="245"/>
  <c r="F9" i="245"/>
  <c r="I5" i="245" s="1"/>
  <c r="H15" i="240"/>
  <c r="H38" i="240"/>
  <c r="H28" i="240"/>
  <c r="H16" i="240"/>
  <c r="H18" i="240"/>
  <c r="H44" i="240"/>
  <c r="H33" i="240"/>
  <c r="H25" i="240"/>
  <c r="H13" i="240"/>
  <c r="H9" i="240"/>
  <c r="H41" i="240"/>
  <c r="H30" i="240"/>
  <c r="H19" i="240"/>
  <c r="H7" i="240"/>
  <c r="H70" i="240" s="1"/>
  <c r="I70" i="240" s="1"/>
  <c r="H12" i="240"/>
  <c r="H47" i="240"/>
  <c r="H36" i="240"/>
  <c r="H22" i="240"/>
  <c r="H10" i="240"/>
  <c r="B35" i="239"/>
  <c r="B45" i="239" s="1"/>
  <c r="B58" i="239" s="1"/>
  <c r="B26" i="239"/>
  <c r="H7" i="239"/>
  <c r="I6" i="239"/>
  <c r="D61" i="238"/>
  <c r="B26" i="238"/>
  <c r="B35" i="238"/>
  <c r="B45" i="238" s="1"/>
  <c r="B58" i="238" s="1"/>
  <c r="B35" i="237"/>
  <c r="B45" i="237" s="1"/>
  <c r="B58" i="237" s="1"/>
  <c r="B26" i="237"/>
  <c r="D61" i="237"/>
  <c r="B35" i="236"/>
  <c r="B45" i="236" s="1"/>
  <c r="B58" i="236" s="1"/>
  <c r="B26" i="236"/>
  <c r="J10" i="235"/>
  <c r="K10" i="235" s="1"/>
  <c r="K9" i="235"/>
  <c r="K11" i="235" s="1"/>
  <c r="J10" i="234"/>
  <c r="K10" i="234" s="1"/>
  <c r="K9" i="234"/>
  <c r="I17" i="227"/>
  <c r="H18" i="227"/>
  <c r="K15" i="227"/>
  <c r="J14" i="227"/>
  <c r="I13" i="227"/>
  <c r="G15" i="226"/>
  <c r="G17" i="226"/>
  <c r="H12" i="226"/>
  <c r="G15" i="225"/>
  <c r="H14" i="225" s="1"/>
  <c r="I13" i="225" s="1"/>
  <c r="J12" i="225" s="1"/>
  <c r="J25" i="225" s="1"/>
  <c r="G17" i="225"/>
  <c r="P13" i="224"/>
  <c r="Q12" i="224" s="1"/>
  <c r="R11" i="224" s="1"/>
  <c r="P15" i="224"/>
  <c r="K12" i="224"/>
  <c r="L11" i="224" s="1"/>
  <c r="K14" i="224"/>
  <c r="AA10" i="210"/>
  <c r="AB10" i="210"/>
  <c r="AC10" i="210"/>
  <c r="Z11" i="210"/>
  <c r="AD9" i="210"/>
  <c r="D5" i="204"/>
  <c r="E5" i="204" s="1"/>
  <c r="F5" i="204"/>
  <c r="C6" i="204"/>
  <c r="A7" i="204"/>
  <c r="C6" i="202"/>
  <c r="A7" i="202"/>
  <c r="D5" i="202"/>
  <c r="E5" i="202" s="1"/>
  <c r="F5" i="202"/>
  <c r="H40" i="185"/>
  <c r="D39" i="185"/>
  <c r="A37" i="185"/>
  <c r="C45" i="185" s="1"/>
  <c r="C46" i="185" s="1"/>
  <c r="B39" i="185"/>
  <c r="I27" i="185"/>
  <c r="H42" i="185"/>
  <c r="F26" i="185"/>
  <c r="H25" i="185"/>
  <c r="H39" i="185" s="1"/>
  <c r="E39" i="185"/>
  <c r="I37" i="185"/>
  <c r="I30" i="185"/>
  <c r="H46" i="185"/>
  <c r="F26" i="184"/>
  <c r="F30" i="184" s="1"/>
  <c r="H25" i="184"/>
  <c r="E12" i="181"/>
  <c r="F12" i="181" s="1"/>
  <c r="B13" i="181"/>
  <c r="F11" i="181"/>
  <c r="H6" i="178"/>
  <c r="J6" i="178"/>
  <c r="F8" i="176"/>
  <c r="G8" i="176" s="1"/>
  <c r="H8" i="176" s="1"/>
  <c r="D9" i="174"/>
  <c r="B10" i="174"/>
  <c r="K9" i="167"/>
  <c r="J10" i="167"/>
  <c r="K10" i="167" s="1"/>
  <c r="K11" i="167" s="1"/>
  <c r="K8" i="165"/>
  <c r="J9" i="165"/>
  <c r="M11" i="164"/>
  <c r="N11" i="164"/>
  <c r="L12" i="164"/>
  <c r="O10" i="164"/>
  <c r="J8" i="163"/>
  <c r="I9" i="163"/>
  <c r="A9" i="158"/>
  <c r="H21" i="157"/>
  <c r="G21" i="157"/>
  <c r="F21" i="157"/>
  <c r="B22" i="157"/>
  <c r="A9" i="157"/>
  <c r="B23" i="157" s="1"/>
  <c r="AB10" i="156"/>
  <c r="AA10" i="156"/>
  <c r="AD10" i="156" s="1"/>
  <c r="AC10" i="156"/>
  <c r="Z11" i="156"/>
  <c r="AD9" i="156"/>
  <c r="H15" i="155"/>
  <c r="H24" i="155"/>
  <c r="H14" i="155"/>
  <c r="G17" i="155"/>
  <c r="F17" i="155"/>
  <c r="E17" i="155"/>
  <c r="H17" i="155"/>
  <c r="C18" i="155"/>
  <c r="D18" i="155" s="1"/>
  <c r="B19" i="155"/>
  <c r="I13" i="155"/>
  <c r="I17" i="155" s="1"/>
  <c r="J3" i="151"/>
  <c r="L3" i="151" s="1"/>
  <c r="J4" i="150"/>
  <c r="F5" i="150"/>
  <c r="E5" i="151"/>
  <c r="D6" i="151"/>
  <c r="C7" i="151"/>
  <c r="B16" i="275" l="1"/>
  <c r="C16" i="275"/>
  <c r="D16" i="275"/>
  <c r="E16" i="275"/>
  <c r="F16" i="275"/>
  <c r="G16" i="275"/>
  <c r="A17" i="275"/>
  <c r="H15" i="275"/>
  <c r="F8" i="273"/>
  <c r="D9" i="273"/>
  <c r="A10" i="273"/>
  <c r="B9" i="273"/>
  <c r="C9" i="273"/>
  <c r="E9" i="273"/>
  <c r="B9" i="272"/>
  <c r="C9" i="272"/>
  <c r="D9" i="272"/>
  <c r="E9" i="272"/>
  <c r="A10" i="272"/>
  <c r="F8" i="272"/>
  <c r="J6" i="252"/>
  <c r="J7" i="252"/>
  <c r="J21" i="270"/>
  <c r="K20" i="270"/>
  <c r="L19" i="270"/>
  <c r="L33" i="270" s="1"/>
  <c r="K32" i="270" s="1"/>
  <c r="K14" i="270"/>
  <c r="J13" i="270"/>
  <c r="L15" i="270"/>
  <c r="L29" i="270" s="1"/>
  <c r="K30" i="270" s="1"/>
  <c r="J31" i="270" s="1"/>
  <c r="L19" i="269"/>
  <c r="L33" i="269" s="1"/>
  <c r="K32" i="269" s="1"/>
  <c r="K20" i="269"/>
  <c r="J21" i="269"/>
  <c r="K14" i="269"/>
  <c r="J13" i="269"/>
  <c r="L15" i="269"/>
  <c r="L29" i="269" s="1"/>
  <c r="K30" i="269" s="1"/>
  <c r="J31" i="269" s="1"/>
  <c r="L19" i="267"/>
  <c r="L33" i="267" s="1"/>
  <c r="K18" i="267"/>
  <c r="L25" i="267"/>
  <c r="L39" i="267" s="1"/>
  <c r="K26" i="267"/>
  <c r="J27" i="267"/>
  <c r="L13" i="267"/>
  <c r="L14" i="267" s="1"/>
  <c r="C9" i="266"/>
  <c r="D9" i="266"/>
  <c r="B9" i="266"/>
  <c r="E9" i="266"/>
  <c r="A10" i="266"/>
  <c r="G9" i="266"/>
  <c r="F8" i="266"/>
  <c r="B9" i="265"/>
  <c r="D9" i="265"/>
  <c r="E9" i="265"/>
  <c r="C9" i="265"/>
  <c r="G9" i="265"/>
  <c r="A10" i="265"/>
  <c r="F8" i="265"/>
  <c r="H8" i="265" s="1"/>
  <c r="D9" i="264"/>
  <c r="E9" i="264"/>
  <c r="C9" i="264"/>
  <c r="B9" i="264"/>
  <c r="F9" i="264" s="1"/>
  <c r="H9" i="264" s="1"/>
  <c r="A10" i="264"/>
  <c r="G9" i="264"/>
  <c r="F8" i="264"/>
  <c r="H8" i="264" s="1"/>
  <c r="AA11" i="260"/>
  <c r="AB11" i="260"/>
  <c r="AC11" i="260"/>
  <c r="Z12" i="260"/>
  <c r="AD10" i="260"/>
  <c r="K11" i="234"/>
  <c r="E19" i="253"/>
  <c r="B19" i="253"/>
  <c r="F19" i="253" s="1"/>
  <c r="D19" i="253"/>
  <c r="A20" i="253"/>
  <c r="C19" i="253"/>
  <c r="F18" i="253"/>
  <c r="F5" i="252"/>
  <c r="E4" i="252"/>
  <c r="F4" i="252" s="1"/>
  <c r="G4" i="252"/>
  <c r="H5" i="252"/>
  <c r="B9" i="252"/>
  <c r="C9" i="252"/>
  <c r="G9" i="252"/>
  <c r="D9" i="252"/>
  <c r="A10" i="252"/>
  <c r="E8" i="252"/>
  <c r="F8" i="252"/>
  <c r="H8" i="252"/>
  <c r="I8" i="252" s="1"/>
  <c r="F5" i="251"/>
  <c r="E4" i="251"/>
  <c r="F4" i="251" s="1"/>
  <c r="J4" i="251" s="1"/>
  <c r="B9" i="251"/>
  <c r="C9" i="251"/>
  <c r="A10" i="251"/>
  <c r="G9" i="251"/>
  <c r="D9" i="251"/>
  <c r="I7" i="251"/>
  <c r="I5" i="251"/>
  <c r="I6" i="251"/>
  <c r="J6" i="251" s="1"/>
  <c r="E8" i="251"/>
  <c r="F8" i="251"/>
  <c r="J8" i="251" s="1"/>
  <c r="H8" i="251"/>
  <c r="I8" i="251"/>
  <c r="A88" i="250"/>
  <c r="E87" i="250"/>
  <c r="D87" i="250"/>
  <c r="C87" i="250"/>
  <c r="B87" i="250"/>
  <c r="I4" i="245"/>
  <c r="B36" i="239"/>
  <c r="B46" i="239" s="1"/>
  <c r="B59" i="239" s="1"/>
  <c r="B27" i="239"/>
  <c r="B37" i="239" s="1"/>
  <c r="B47" i="239" s="1"/>
  <c r="B60" i="239" s="1"/>
  <c r="I7" i="239"/>
  <c r="H8" i="239"/>
  <c r="B36" i="238"/>
  <c r="B46" i="238" s="1"/>
  <c r="B59" i="238" s="1"/>
  <c r="B27" i="238"/>
  <c r="B37" i="238" s="1"/>
  <c r="B47" i="238" s="1"/>
  <c r="B60" i="238" s="1"/>
  <c r="B27" i="237"/>
  <c r="B37" i="237" s="1"/>
  <c r="B47" i="237" s="1"/>
  <c r="B60" i="237" s="1"/>
  <c r="B36" i="237"/>
  <c r="B46" i="237" s="1"/>
  <c r="B59" i="237" s="1"/>
  <c r="B36" i="236"/>
  <c r="B46" i="236" s="1"/>
  <c r="B59" i="236" s="1"/>
  <c r="B27" i="236"/>
  <c r="B37" i="236" s="1"/>
  <c r="B47" i="236" s="1"/>
  <c r="B60" i="236" s="1"/>
  <c r="K17" i="227"/>
  <c r="I19" i="227"/>
  <c r="J18" i="227"/>
  <c r="L14" i="227"/>
  <c r="L28" i="227" s="1"/>
  <c r="K29" i="227" s="1"/>
  <c r="J12" i="227"/>
  <c r="K13" i="227"/>
  <c r="H14" i="226"/>
  <c r="H18" i="226"/>
  <c r="H16" i="226"/>
  <c r="I11" i="226"/>
  <c r="H18" i="225"/>
  <c r="H16" i="225"/>
  <c r="I15" i="225" s="1"/>
  <c r="J14" i="225" s="1"/>
  <c r="J27" i="225" s="1"/>
  <c r="I26" i="225" s="1"/>
  <c r="I24" i="225"/>
  <c r="Q16" i="224"/>
  <c r="Q14" i="224"/>
  <c r="R13" i="224" s="1"/>
  <c r="L13" i="224"/>
  <c r="L15" i="224"/>
  <c r="AA11" i="210"/>
  <c r="AB11" i="210"/>
  <c r="AC11" i="210"/>
  <c r="Z12" i="210"/>
  <c r="AD10" i="210"/>
  <c r="F6" i="204"/>
  <c r="D6" i="204"/>
  <c r="E6" i="204" s="1"/>
  <c r="C7" i="204"/>
  <c r="A8" i="204"/>
  <c r="C8" i="204" s="1"/>
  <c r="D6" i="202"/>
  <c r="E6" i="202" s="1"/>
  <c r="F6" i="202"/>
  <c r="C7" i="202"/>
  <c r="A8" i="202"/>
  <c r="C8" i="202" s="1"/>
  <c r="F39" i="185"/>
  <c r="H38" i="185"/>
  <c r="I42" i="185"/>
  <c r="E27" i="185"/>
  <c r="F27" i="185" s="1"/>
  <c r="I46" i="185"/>
  <c r="I47" i="185" s="1"/>
  <c r="E42" i="185" s="1"/>
  <c r="F42" i="185" s="1"/>
  <c r="E28" i="185"/>
  <c r="F28" i="185" s="1"/>
  <c r="I40" i="185"/>
  <c r="E40" i="185" s="1"/>
  <c r="F40" i="185" s="1"/>
  <c r="E13" i="181"/>
  <c r="B14" i="181"/>
  <c r="E14" i="181" s="1"/>
  <c r="F14" i="181" s="1"/>
  <c r="F7" i="178"/>
  <c r="F9" i="176"/>
  <c r="G9" i="176" s="1"/>
  <c r="H9" i="176" s="1"/>
  <c r="D10" i="174"/>
  <c r="B11" i="174"/>
  <c r="K9" i="165"/>
  <c r="J10" i="165"/>
  <c r="K10" i="165" s="1"/>
  <c r="K11" i="165" s="1"/>
  <c r="M12" i="164"/>
  <c r="O12" i="164" s="1"/>
  <c r="N12" i="164"/>
  <c r="L13" i="164"/>
  <c r="O11" i="164"/>
  <c r="I10" i="163"/>
  <c r="J9" i="163"/>
  <c r="F22" i="157"/>
  <c r="G22" i="157"/>
  <c r="H22" i="157"/>
  <c r="H23" i="157"/>
  <c r="F23" i="157"/>
  <c r="G23" i="157"/>
  <c r="AB11" i="156"/>
  <c r="AA11" i="156"/>
  <c r="AC11" i="156"/>
  <c r="Z12" i="156"/>
  <c r="G18" i="155"/>
  <c r="F18" i="155"/>
  <c r="I18" i="155"/>
  <c r="E18" i="155"/>
  <c r="H18" i="155"/>
  <c r="B20" i="155"/>
  <c r="J13" i="155"/>
  <c r="J18" i="155" s="1"/>
  <c r="C19" i="155"/>
  <c r="D19" i="155" s="1"/>
  <c r="I16" i="155"/>
  <c r="I15" i="155"/>
  <c r="I24" i="155"/>
  <c r="I14" i="155"/>
  <c r="D7" i="151"/>
  <c r="C8" i="151"/>
  <c r="E6" i="151"/>
  <c r="G5" i="150"/>
  <c r="H5" i="150" s="1"/>
  <c r="I5" i="150"/>
  <c r="B17" i="275" l="1"/>
  <c r="C17" i="275"/>
  <c r="D17" i="275"/>
  <c r="E17" i="275"/>
  <c r="F17" i="275"/>
  <c r="G17" i="275"/>
  <c r="A18" i="275"/>
  <c r="H16" i="275"/>
  <c r="F9" i="273"/>
  <c r="E10" i="273"/>
  <c r="A11" i="273"/>
  <c r="D10" i="273"/>
  <c r="B10" i="273"/>
  <c r="C10" i="273"/>
  <c r="C10" i="272"/>
  <c r="D10" i="272"/>
  <c r="B10" i="272"/>
  <c r="E10" i="272"/>
  <c r="A11" i="272"/>
  <c r="F9" i="272"/>
  <c r="F9" i="266"/>
  <c r="H9" i="266" s="1"/>
  <c r="L21" i="270"/>
  <c r="L35" i="270" s="1"/>
  <c r="K22" i="270"/>
  <c r="K12" i="270"/>
  <c r="L13" i="270"/>
  <c r="L27" i="270" s="1"/>
  <c r="K28" i="270" s="1"/>
  <c r="J29" i="270" s="1"/>
  <c r="I30" i="270" s="1"/>
  <c r="K34" i="270"/>
  <c r="I32" i="270"/>
  <c r="L21" i="269"/>
  <c r="L35" i="269" s="1"/>
  <c r="K34" i="269" s="1"/>
  <c r="K22" i="269"/>
  <c r="L13" i="269"/>
  <c r="L27" i="269" s="1"/>
  <c r="K28" i="269" s="1"/>
  <c r="J29" i="269" s="1"/>
  <c r="I30" i="269" s="1"/>
  <c r="K12" i="269"/>
  <c r="L17" i="267"/>
  <c r="L31" i="267" s="1"/>
  <c r="K32" i="267" s="1"/>
  <c r="L27" i="267"/>
  <c r="L41" i="267" s="1"/>
  <c r="K28" i="267"/>
  <c r="K38" i="267"/>
  <c r="K34" i="267"/>
  <c r="K36" i="267"/>
  <c r="J37" i="267" s="1"/>
  <c r="K40" i="267"/>
  <c r="D10" i="266"/>
  <c r="E10" i="266"/>
  <c r="B10" i="266"/>
  <c r="C10" i="266"/>
  <c r="G10" i="266"/>
  <c r="A11" i="266"/>
  <c r="H8" i="266"/>
  <c r="B10" i="265"/>
  <c r="D10" i="265"/>
  <c r="E10" i="265"/>
  <c r="C10" i="265"/>
  <c r="G10" i="265"/>
  <c r="A11" i="265"/>
  <c r="F9" i="265"/>
  <c r="H9" i="265" s="1"/>
  <c r="E10" i="264"/>
  <c r="D10" i="264"/>
  <c r="B10" i="264"/>
  <c r="C10" i="264"/>
  <c r="A11" i="264"/>
  <c r="G10" i="264"/>
  <c r="AB12" i="260"/>
  <c r="AA12" i="260"/>
  <c r="AC12" i="260"/>
  <c r="Z13" i="260"/>
  <c r="AD11" i="260"/>
  <c r="B20" i="253"/>
  <c r="D20" i="253"/>
  <c r="C20" i="253"/>
  <c r="A21" i="253"/>
  <c r="E20" i="253"/>
  <c r="I5" i="252"/>
  <c r="J5" i="252" s="1"/>
  <c r="H4" i="252"/>
  <c r="I4" i="252" s="1"/>
  <c r="J4" i="252" s="1"/>
  <c r="B10" i="252"/>
  <c r="C10" i="252"/>
  <c r="D10" i="252"/>
  <c r="G10" i="252"/>
  <c r="A11" i="252"/>
  <c r="J8" i="252"/>
  <c r="H9" i="252"/>
  <c r="I9" i="252" s="1"/>
  <c r="J9" i="252" s="1"/>
  <c r="E9" i="252"/>
  <c r="F9" i="252"/>
  <c r="B10" i="251"/>
  <c r="C10" i="251"/>
  <c r="A11" i="251"/>
  <c r="D10" i="251"/>
  <c r="G10" i="251"/>
  <c r="J5" i="251"/>
  <c r="H9" i="251"/>
  <c r="I9" i="251"/>
  <c r="E9" i="251"/>
  <c r="F9" i="251"/>
  <c r="J9" i="251" s="1"/>
  <c r="A89" i="250"/>
  <c r="E88" i="250"/>
  <c r="D88" i="250"/>
  <c r="C88" i="250"/>
  <c r="B88" i="250"/>
  <c r="F88" i="250" s="1"/>
  <c r="F87" i="250"/>
  <c r="I8" i="239"/>
  <c r="H9" i="239"/>
  <c r="F30" i="185"/>
  <c r="J20" i="227"/>
  <c r="K19" i="227"/>
  <c r="L18" i="227"/>
  <c r="L32" i="227" s="1"/>
  <c r="K31" i="227" s="1"/>
  <c r="L12" i="227"/>
  <c r="L26" i="227" s="1"/>
  <c r="K27" i="227" s="1"/>
  <c r="J28" i="227" s="1"/>
  <c r="K11" i="227"/>
  <c r="I13" i="226"/>
  <c r="I19" i="226"/>
  <c r="I17" i="226"/>
  <c r="I15" i="226"/>
  <c r="J10" i="226"/>
  <c r="J23" i="226" s="1"/>
  <c r="I19" i="225"/>
  <c r="I17" i="225"/>
  <c r="J16" i="225" s="1"/>
  <c r="J29" i="225" s="1"/>
  <c r="H25" i="225"/>
  <c r="R15" i="224"/>
  <c r="R17" i="224"/>
  <c r="AB12" i="210"/>
  <c r="AA12" i="210"/>
  <c r="Z13" i="210"/>
  <c r="AC12" i="210"/>
  <c r="AD11" i="210"/>
  <c r="D7" i="204"/>
  <c r="E7" i="204" s="1"/>
  <c r="F7" i="204"/>
  <c r="D8" i="204"/>
  <c r="E8" i="204" s="1"/>
  <c r="E9" i="204" s="1"/>
  <c r="F8" i="204"/>
  <c r="F9" i="204" s="1"/>
  <c r="B12" i="204" s="1"/>
  <c r="D7" i="202"/>
  <c r="E7" i="202" s="1"/>
  <c r="F7" i="202"/>
  <c r="D8" i="202"/>
  <c r="E8" i="202" s="1"/>
  <c r="E9" i="202" s="1"/>
  <c r="I4" i="202" s="1"/>
  <c r="F8" i="202"/>
  <c r="F9" i="202" s="1"/>
  <c r="F44" i="185"/>
  <c r="E15" i="181"/>
  <c r="E21" i="181" s="1"/>
  <c r="F13" i="181"/>
  <c r="F15" i="181" s="1"/>
  <c r="G15" i="181" s="1"/>
  <c r="B17" i="181" s="1"/>
  <c r="G7" i="178"/>
  <c r="I7" i="178"/>
  <c r="F10" i="176"/>
  <c r="G10" i="176" s="1"/>
  <c r="H10" i="176"/>
  <c r="D11" i="174"/>
  <c r="B12" i="174"/>
  <c r="M13" i="164"/>
  <c r="N13" i="164"/>
  <c r="L14" i="164"/>
  <c r="I11" i="163"/>
  <c r="J10" i="163"/>
  <c r="AB12" i="156"/>
  <c r="AA12" i="156"/>
  <c r="AC12" i="156"/>
  <c r="Z13" i="156"/>
  <c r="AD11" i="156"/>
  <c r="C20" i="155"/>
  <c r="D20" i="155" s="1"/>
  <c r="B21" i="155"/>
  <c r="K13" i="155"/>
  <c r="J17" i="155"/>
  <c r="J16" i="155"/>
  <c r="J15" i="155"/>
  <c r="J24" i="155"/>
  <c r="J14" i="155"/>
  <c r="H19" i="155"/>
  <c r="K19" i="155"/>
  <c r="E19" i="155"/>
  <c r="G19" i="155"/>
  <c r="I19" i="155"/>
  <c r="F19" i="155"/>
  <c r="J19" i="155"/>
  <c r="J5" i="150"/>
  <c r="E7" i="151"/>
  <c r="D8" i="151"/>
  <c r="C9" i="151"/>
  <c r="B18" i="275" l="1"/>
  <c r="C18" i="275"/>
  <c r="D18" i="275"/>
  <c r="E18" i="275"/>
  <c r="F18" i="275"/>
  <c r="G18" i="275"/>
  <c r="A19" i="275"/>
  <c r="H17" i="275"/>
  <c r="F10" i="266"/>
  <c r="D11" i="273"/>
  <c r="B11" i="273"/>
  <c r="E11" i="273"/>
  <c r="C11" i="273"/>
  <c r="A12" i="273"/>
  <c r="F10" i="273"/>
  <c r="C11" i="272"/>
  <c r="B11" i="272"/>
  <c r="D11" i="272"/>
  <c r="E11" i="272"/>
  <c r="A12" i="272"/>
  <c r="F10" i="272"/>
  <c r="AD12" i="156"/>
  <c r="L23" i="270"/>
  <c r="L37" i="270" s="1"/>
  <c r="K36" i="270"/>
  <c r="L11" i="270"/>
  <c r="L25" i="270" s="1"/>
  <c r="K26" i="270" s="1"/>
  <c r="J27" i="270" s="1"/>
  <c r="I28" i="270" s="1"/>
  <c r="H29" i="270" s="1"/>
  <c r="G30" i="270" s="1"/>
  <c r="H31" i="270"/>
  <c r="J33" i="270"/>
  <c r="J35" i="270"/>
  <c r="I34" i="270" s="1"/>
  <c r="H33" i="270" s="1"/>
  <c r="J33" i="267"/>
  <c r="J35" i="267"/>
  <c r="I36" i="267" s="1"/>
  <c r="L23" i="269"/>
  <c r="L37" i="269" s="1"/>
  <c r="K36" i="269"/>
  <c r="K26" i="269"/>
  <c r="J27" i="269" s="1"/>
  <c r="I28" i="269" s="1"/>
  <c r="H29" i="269" s="1"/>
  <c r="L11" i="269"/>
  <c r="L25" i="269" s="1"/>
  <c r="J33" i="269"/>
  <c r="I32" i="269" s="1"/>
  <c r="J35" i="269"/>
  <c r="I34" i="269" s="1"/>
  <c r="L29" i="267"/>
  <c r="L43" i="267" s="1"/>
  <c r="K42" i="267" s="1"/>
  <c r="J41" i="267" s="1"/>
  <c r="J39" i="267"/>
  <c r="B11" i="266"/>
  <c r="D11" i="266"/>
  <c r="E11" i="266"/>
  <c r="C11" i="266"/>
  <c r="G11" i="266"/>
  <c r="A12" i="266"/>
  <c r="H10" i="266"/>
  <c r="C11" i="265"/>
  <c r="B11" i="265"/>
  <c r="D11" i="265"/>
  <c r="E11" i="265"/>
  <c r="G11" i="265"/>
  <c r="A12" i="265"/>
  <c r="F10" i="265"/>
  <c r="H10" i="265" s="1"/>
  <c r="B11" i="264"/>
  <c r="E11" i="264"/>
  <c r="D11" i="264"/>
  <c r="C11" i="264"/>
  <c r="G11" i="264"/>
  <c r="A12" i="264"/>
  <c r="F10" i="264"/>
  <c r="H10" i="264" s="1"/>
  <c r="AA13" i="260"/>
  <c r="AB13" i="260"/>
  <c r="AC13" i="260"/>
  <c r="Z14" i="260"/>
  <c r="AD12" i="260"/>
  <c r="B21" i="253"/>
  <c r="C21" i="253"/>
  <c r="A22" i="253"/>
  <c r="D21" i="253"/>
  <c r="E21" i="253"/>
  <c r="F20" i="253"/>
  <c r="B11" i="252"/>
  <c r="C11" i="252"/>
  <c r="D11" i="252"/>
  <c r="A12" i="252"/>
  <c r="G11" i="252"/>
  <c r="E10" i="252"/>
  <c r="F10" i="252"/>
  <c r="H10" i="252"/>
  <c r="I10" i="252"/>
  <c r="C11" i="251"/>
  <c r="B11" i="251"/>
  <c r="G11" i="251"/>
  <c r="D11" i="251"/>
  <c r="A12" i="251"/>
  <c r="E10" i="251"/>
  <c r="F10" i="251"/>
  <c r="J10" i="251" s="1"/>
  <c r="H10" i="251"/>
  <c r="I10" i="251"/>
  <c r="A90" i="250"/>
  <c r="E89" i="250"/>
  <c r="D89" i="250"/>
  <c r="C89" i="250"/>
  <c r="B89" i="250"/>
  <c r="F89" i="250" s="1"/>
  <c r="I9" i="239"/>
  <c r="H10" i="239"/>
  <c r="L20" i="227"/>
  <c r="L34" i="227" s="1"/>
  <c r="K21" i="227"/>
  <c r="L10" i="227"/>
  <c r="L24" i="227" s="1"/>
  <c r="K25" i="227" s="1"/>
  <c r="J26" i="227" s="1"/>
  <c r="I27" i="227" s="1"/>
  <c r="K33" i="227"/>
  <c r="J32" i="227" s="1"/>
  <c r="J30" i="227"/>
  <c r="I29" i="227" s="1"/>
  <c r="J12" i="226"/>
  <c r="J25" i="226" s="1"/>
  <c r="J20" i="226"/>
  <c r="J33" i="226" s="1"/>
  <c r="J18" i="226"/>
  <c r="J31" i="226" s="1"/>
  <c r="I32" i="226" s="1"/>
  <c r="J16" i="226"/>
  <c r="J29" i="226" s="1"/>
  <c r="I30" i="226" s="1"/>
  <c r="H31" i="226" s="1"/>
  <c r="J14" i="226"/>
  <c r="J27" i="226" s="1"/>
  <c r="I28" i="226" s="1"/>
  <c r="H29" i="226" s="1"/>
  <c r="G30" i="226" s="1"/>
  <c r="J20" i="225"/>
  <c r="J33" i="225" s="1"/>
  <c r="J18" i="225"/>
  <c r="J31" i="225" s="1"/>
  <c r="I32" i="225" s="1"/>
  <c r="I28" i="225"/>
  <c r="I30" i="225"/>
  <c r="H31" i="225" s="1"/>
  <c r="AA13" i="210"/>
  <c r="AD13" i="210" s="1"/>
  <c r="AB13" i="210"/>
  <c r="Z14" i="210"/>
  <c r="AC13" i="210"/>
  <c r="AD12" i="210"/>
  <c r="B11" i="204"/>
  <c r="H7" i="178"/>
  <c r="J7" i="178"/>
  <c r="F11" i="176"/>
  <c r="G11" i="176" s="1"/>
  <c r="H11" i="176" s="1"/>
  <c r="D12" i="174"/>
  <c r="B13" i="174"/>
  <c r="M14" i="164"/>
  <c r="N14" i="164"/>
  <c r="L15" i="164"/>
  <c r="O13" i="164"/>
  <c r="J11" i="163"/>
  <c r="I12" i="163"/>
  <c r="AB13" i="156"/>
  <c r="AA13" i="156"/>
  <c r="AC13" i="156"/>
  <c r="Z14" i="156"/>
  <c r="G20" i="155"/>
  <c r="J20" i="155"/>
  <c r="E20" i="155"/>
  <c r="H20" i="155"/>
  <c r="K20" i="155"/>
  <c r="F20" i="155"/>
  <c r="I20" i="155"/>
  <c r="B22" i="155"/>
  <c r="C21" i="155"/>
  <c r="D21" i="155" s="1"/>
  <c r="L13" i="155"/>
  <c r="L20" i="155" s="1"/>
  <c r="K18" i="155"/>
  <c r="K17" i="155"/>
  <c r="K16" i="155"/>
  <c r="K15" i="155"/>
  <c r="K24" i="155"/>
  <c r="K14" i="155"/>
  <c r="N5" i="150"/>
  <c r="K5" i="150"/>
  <c r="F6" i="150" s="1"/>
  <c r="E8" i="151"/>
  <c r="C10" i="151"/>
  <c r="D9" i="151"/>
  <c r="I6" i="150"/>
  <c r="G6" i="150"/>
  <c r="H6" i="150" s="1"/>
  <c r="B19" i="275" l="1"/>
  <c r="C19" i="275"/>
  <c r="D19" i="275"/>
  <c r="E19" i="275"/>
  <c r="F19" i="275"/>
  <c r="G19" i="275"/>
  <c r="A20" i="275"/>
  <c r="H18" i="275"/>
  <c r="H33" i="269"/>
  <c r="G32" i="269" s="1"/>
  <c r="H31" i="269"/>
  <c r="G30" i="269" s="1"/>
  <c r="F31" i="269" s="1"/>
  <c r="F11" i="273"/>
  <c r="D12" i="273"/>
  <c r="C12" i="273"/>
  <c r="A13" i="273"/>
  <c r="B12" i="273"/>
  <c r="E12" i="273"/>
  <c r="B12" i="272"/>
  <c r="C12" i="272"/>
  <c r="D12" i="272"/>
  <c r="E12" i="272"/>
  <c r="A13" i="272"/>
  <c r="F11" i="272"/>
  <c r="H28" i="227"/>
  <c r="J10" i="252"/>
  <c r="G32" i="270"/>
  <c r="F31" i="270" s="1"/>
  <c r="I34" i="267"/>
  <c r="H35" i="267" s="1"/>
  <c r="I38" i="267"/>
  <c r="I40" i="267"/>
  <c r="C12" i="266"/>
  <c r="D12" i="266"/>
  <c r="B12" i="266"/>
  <c r="E12" i="266"/>
  <c r="A13" i="266"/>
  <c r="G12" i="266"/>
  <c r="F11" i="266"/>
  <c r="H11" i="266" s="1"/>
  <c r="B12" i="265"/>
  <c r="E12" i="265"/>
  <c r="C12" i="265"/>
  <c r="D12" i="265"/>
  <c r="G12" i="265"/>
  <c r="A13" i="265"/>
  <c r="F11" i="265"/>
  <c r="H11" i="265" s="1"/>
  <c r="D12" i="264"/>
  <c r="E12" i="264"/>
  <c r="B12" i="264"/>
  <c r="C12" i="264"/>
  <c r="G12" i="264"/>
  <c r="A13" i="264"/>
  <c r="F11" i="264"/>
  <c r="H11" i="264" s="1"/>
  <c r="AB14" i="260"/>
  <c r="AA14" i="260"/>
  <c r="AD14" i="260" s="1"/>
  <c r="AC14" i="260"/>
  <c r="Z15" i="260"/>
  <c r="AD13" i="260"/>
  <c r="C22" i="253"/>
  <c r="B22" i="253"/>
  <c r="F22" i="253" s="1"/>
  <c r="D22" i="253"/>
  <c r="A23" i="253"/>
  <c r="E22" i="253"/>
  <c r="F21" i="253"/>
  <c r="B12" i="252"/>
  <c r="C12" i="252"/>
  <c r="D12" i="252"/>
  <c r="G12" i="252"/>
  <c r="A13" i="252"/>
  <c r="E11" i="252"/>
  <c r="F11" i="252"/>
  <c r="H11" i="252"/>
  <c r="I11" i="252"/>
  <c r="F12" i="251"/>
  <c r="B12" i="251"/>
  <c r="C12" i="251"/>
  <c r="A13" i="251"/>
  <c r="D12" i="251"/>
  <c r="E12" i="251" s="1"/>
  <c r="G12" i="251"/>
  <c r="H11" i="251"/>
  <c r="I11" i="251"/>
  <c r="E11" i="251"/>
  <c r="F11" i="251"/>
  <c r="A91" i="250"/>
  <c r="E90" i="250"/>
  <c r="D90" i="250"/>
  <c r="C90" i="250"/>
  <c r="B90" i="250"/>
  <c r="F90" i="250" s="1"/>
  <c r="B11" i="239"/>
  <c r="I10" i="239"/>
  <c r="L22" i="227"/>
  <c r="L36" i="227" s="1"/>
  <c r="K35" i="227" s="1"/>
  <c r="J34" i="227" s="1"/>
  <c r="I33" i="227" s="1"/>
  <c r="I31" i="227"/>
  <c r="I24" i="226"/>
  <c r="I26" i="226"/>
  <c r="H27" i="225"/>
  <c r="H29" i="225"/>
  <c r="G30" i="225" s="1"/>
  <c r="AA14" i="210"/>
  <c r="AB14" i="210"/>
  <c r="Z15" i="210"/>
  <c r="AC14" i="210"/>
  <c r="F8" i="178"/>
  <c r="F12" i="176"/>
  <c r="G12" i="176" s="1"/>
  <c r="H12" i="176"/>
  <c r="D13" i="174"/>
  <c r="B14" i="174"/>
  <c r="D14" i="174" s="1"/>
  <c r="D16" i="174" s="1"/>
  <c r="M15" i="164"/>
  <c r="O15" i="164" s="1"/>
  <c r="N15" i="164"/>
  <c r="L16" i="164"/>
  <c r="O14" i="164"/>
  <c r="J12" i="163"/>
  <c r="I13" i="163"/>
  <c r="AA14" i="156"/>
  <c r="AB14" i="156"/>
  <c r="AC14" i="156"/>
  <c r="Z15" i="156"/>
  <c r="AD13" i="156"/>
  <c r="B23" i="155"/>
  <c r="C22" i="155"/>
  <c r="D22" i="155" s="1"/>
  <c r="M13" i="155"/>
  <c r="F21" i="155"/>
  <c r="H21" i="155"/>
  <c r="J21" i="155"/>
  <c r="E21" i="155"/>
  <c r="G21" i="155"/>
  <c r="I21" i="155"/>
  <c r="M21" i="155"/>
  <c r="K21" i="155"/>
  <c r="L21" i="155"/>
  <c r="L19" i="155"/>
  <c r="L18" i="155"/>
  <c r="L17" i="155"/>
  <c r="L16" i="155"/>
  <c r="L15" i="155"/>
  <c r="L24" i="155"/>
  <c r="L14" i="155"/>
  <c r="J6" i="150"/>
  <c r="E9" i="151"/>
  <c r="C11" i="151"/>
  <c r="D10" i="151"/>
  <c r="B20" i="275" l="1"/>
  <c r="C20" i="275"/>
  <c r="D20" i="275"/>
  <c r="E20" i="275"/>
  <c r="F20" i="275"/>
  <c r="G20" i="275"/>
  <c r="A21" i="275"/>
  <c r="H19" i="275"/>
  <c r="F12" i="273"/>
  <c r="B13" i="273"/>
  <c r="D13" i="273"/>
  <c r="E13" i="273"/>
  <c r="A14" i="273"/>
  <c r="C13" i="273"/>
  <c r="B13" i="272"/>
  <c r="C13" i="272"/>
  <c r="D13" i="272"/>
  <c r="E13" i="272"/>
  <c r="A14" i="272"/>
  <c r="F12" i="272"/>
  <c r="F12" i="266"/>
  <c r="H12" i="266" s="1"/>
  <c r="J11" i="252"/>
  <c r="H37" i="267"/>
  <c r="H39" i="267"/>
  <c r="D13" i="266"/>
  <c r="C13" i="266"/>
  <c r="B13" i="266"/>
  <c r="E13" i="266"/>
  <c r="G13" i="266"/>
  <c r="A14" i="266"/>
  <c r="B13" i="265"/>
  <c r="C13" i="265"/>
  <c r="D13" i="265"/>
  <c r="E13" i="265"/>
  <c r="G13" i="265"/>
  <c r="A14" i="265"/>
  <c r="F12" i="265"/>
  <c r="H12" i="265" s="1"/>
  <c r="B13" i="264"/>
  <c r="E13" i="264"/>
  <c r="D13" i="264"/>
  <c r="C13" i="264"/>
  <c r="G13" i="264"/>
  <c r="A14" i="264"/>
  <c r="F12" i="264"/>
  <c r="H12" i="264" s="1"/>
  <c r="AB15" i="260"/>
  <c r="AA15" i="260"/>
  <c r="AD15" i="260" s="1"/>
  <c r="AC15" i="260"/>
  <c r="Z16" i="260"/>
  <c r="C23" i="253"/>
  <c r="D23" i="253"/>
  <c r="B23" i="253"/>
  <c r="A24" i="253"/>
  <c r="E23" i="253"/>
  <c r="B13" i="252"/>
  <c r="C13" i="252"/>
  <c r="D13" i="252"/>
  <c r="G13" i="252"/>
  <c r="A14" i="252"/>
  <c r="E12" i="252"/>
  <c r="F12" i="252"/>
  <c r="H12" i="252"/>
  <c r="I12" i="252"/>
  <c r="C13" i="251"/>
  <c r="B13" i="251"/>
  <c r="D13" i="251"/>
  <c r="G13" i="251"/>
  <c r="A14" i="251"/>
  <c r="J11" i="251"/>
  <c r="H12" i="251"/>
  <c r="I12" i="251"/>
  <c r="J12" i="251" s="1"/>
  <c r="A92" i="250"/>
  <c r="E91" i="250"/>
  <c r="D91" i="250"/>
  <c r="C91" i="250"/>
  <c r="B91" i="250"/>
  <c r="C65" i="239"/>
  <c r="C66" i="239"/>
  <c r="C16" i="239"/>
  <c r="C17" i="239" s="1"/>
  <c r="G61" i="239" s="1"/>
  <c r="B21" i="239"/>
  <c r="B31" i="239" s="1"/>
  <c r="B41" i="239" s="1"/>
  <c r="B54" i="239" s="1"/>
  <c r="D53" i="239" s="1"/>
  <c r="H30" i="227"/>
  <c r="H32" i="227"/>
  <c r="H25" i="226"/>
  <c r="H27" i="226"/>
  <c r="G28" i="226" s="1"/>
  <c r="F29" i="226" s="1"/>
  <c r="G26" i="225"/>
  <c r="G28" i="225"/>
  <c r="F29" i="225" s="1"/>
  <c r="AA15" i="210"/>
  <c r="AB15" i="210"/>
  <c r="AC15" i="210"/>
  <c r="Z16" i="210"/>
  <c r="AD14" i="210"/>
  <c r="I8" i="178"/>
  <c r="G8" i="178"/>
  <c r="F13" i="176"/>
  <c r="G13" i="176" s="1"/>
  <c r="H13" i="176"/>
  <c r="M16" i="164"/>
  <c r="N16" i="164"/>
  <c r="L17" i="164"/>
  <c r="J13" i="163"/>
  <c r="I14" i="163"/>
  <c r="J14" i="163" s="1"/>
  <c r="J15" i="163" s="1"/>
  <c r="E10" i="151"/>
  <c r="AB15" i="156"/>
  <c r="AA15" i="156"/>
  <c r="AC15" i="156"/>
  <c r="Z16" i="156"/>
  <c r="AD14" i="156"/>
  <c r="C23" i="155"/>
  <c r="D23" i="155" s="1"/>
  <c r="N13" i="155"/>
  <c r="G22" i="155"/>
  <c r="I22" i="155"/>
  <c r="K22" i="155"/>
  <c r="M22" i="155"/>
  <c r="N22" i="155"/>
  <c r="E22" i="155"/>
  <c r="H22" i="155"/>
  <c r="J22" i="155"/>
  <c r="L22" i="155"/>
  <c r="F22" i="155"/>
  <c r="M20" i="155"/>
  <c r="M19" i="155"/>
  <c r="M18" i="155"/>
  <c r="M17" i="155"/>
  <c r="M16" i="155"/>
  <c r="M15" i="155"/>
  <c r="M24" i="155"/>
  <c r="M14" i="155"/>
  <c r="N6" i="150"/>
  <c r="K6" i="150"/>
  <c r="F7" i="150" s="1"/>
  <c r="C12" i="151"/>
  <c r="D11" i="151"/>
  <c r="I7" i="150"/>
  <c r="G7" i="150"/>
  <c r="H7" i="150" s="1"/>
  <c r="J7" i="150" s="1"/>
  <c r="B21" i="275" l="1"/>
  <c r="C21" i="275"/>
  <c r="D21" i="275"/>
  <c r="E21" i="275"/>
  <c r="F21" i="275"/>
  <c r="G21" i="275"/>
  <c r="A22" i="275"/>
  <c r="H20" i="275"/>
  <c r="D14" i="273"/>
  <c r="A15" i="273"/>
  <c r="B14" i="273"/>
  <c r="C14" i="273"/>
  <c r="E14" i="273"/>
  <c r="F13" i="273"/>
  <c r="B14" i="272"/>
  <c r="C14" i="272"/>
  <c r="D14" i="272"/>
  <c r="E14" i="272"/>
  <c r="A15" i="272"/>
  <c r="F13" i="272"/>
  <c r="AD15" i="156"/>
  <c r="G36" i="267"/>
  <c r="G38" i="267"/>
  <c r="C14" i="266"/>
  <c r="E14" i="266"/>
  <c r="D14" i="266"/>
  <c r="B14" i="266"/>
  <c r="A15" i="266"/>
  <c r="G14" i="266"/>
  <c r="F13" i="266"/>
  <c r="H13" i="266" s="1"/>
  <c r="C14" i="265"/>
  <c r="D14" i="265"/>
  <c r="E14" i="265"/>
  <c r="B14" i="265"/>
  <c r="F14" i="265" s="1"/>
  <c r="G14" i="265"/>
  <c r="A15" i="265"/>
  <c r="F13" i="265"/>
  <c r="H13" i="265" s="1"/>
  <c r="C14" i="264"/>
  <c r="D14" i="264"/>
  <c r="B14" i="264"/>
  <c r="E14" i="264"/>
  <c r="G14" i="264"/>
  <c r="A15" i="264"/>
  <c r="F13" i="264"/>
  <c r="H13" i="264" s="1"/>
  <c r="AB16" i="260"/>
  <c r="AA16" i="260"/>
  <c r="AD16" i="260" s="1"/>
  <c r="AC16" i="260"/>
  <c r="Z17" i="260"/>
  <c r="E24" i="253"/>
  <c r="B24" i="253"/>
  <c r="C24" i="253"/>
  <c r="D24" i="253"/>
  <c r="A25" i="253"/>
  <c r="F23" i="253"/>
  <c r="B14" i="252"/>
  <c r="C14" i="252"/>
  <c r="D14" i="252"/>
  <c r="G14" i="252"/>
  <c r="A15" i="252"/>
  <c r="J12" i="252"/>
  <c r="E13" i="252"/>
  <c r="F13" i="252"/>
  <c r="H13" i="252"/>
  <c r="I13" i="252"/>
  <c r="B14" i="251"/>
  <c r="C14" i="251"/>
  <c r="A15" i="251"/>
  <c r="D14" i="251"/>
  <c r="G14" i="251"/>
  <c r="E13" i="251"/>
  <c r="F13" i="251"/>
  <c r="J13" i="251" s="1"/>
  <c r="H13" i="251"/>
  <c r="I13" i="251"/>
  <c r="A93" i="250"/>
  <c r="E92" i="250"/>
  <c r="D92" i="250"/>
  <c r="C92" i="250"/>
  <c r="B92" i="250"/>
  <c r="F91" i="250"/>
  <c r="D57" i="239"/>
  <c r="D60" i="239"/>
  <c r="D55" i="239"/>
  <c r="D59" i="239"/>
  <c r="D56" i="239"/>
  <c r="D58" i="239"/>
  <c r="G29" i="227"/>
  <c r="G31" i="227"/>
  <c r="G26" i="226"/>
  <c r="F27" i="226" s="1"/>
  <c r="E28" i="226" s="1"/>
  <c r="G5" i="226" s="1"/>
  <c r="F27" i="225"/>
  <c r="E28" i="225" s="1"/>
  <c r="G5" i="225" s="1"/>
  <c r="AB16" i="210"/>
  <c r="AA16" i="210"/>
  <c r="AD16" i="210" s="1"/>
  <c r="AC16" i="210"/>
  <c r="Z17" i="210"/>
  <c r="AD15" i="210"/>
  <c r="H8" i="178"/>
  <c r="J8" i="178"/>
  <c r="F14" i="176"/>
  <c r="G14" i="176" s="1"/>
  <c r="H14" i="176" s="1"/>
  <c r="M17" i="164"/>
  <c r="O17" i="164" s="1"/>
  <c r="N17" i="164"/>
  <c r="L18" i="164"/>
  <c r="O16" i="164"/>
  <c r="E11" i="151"/>
  <c r="AB16" i="156"/>
  <c r="AA16" i="156"/>
  <c r="Z17" i="156"/>
  <c r="AC16" i="156"/>
  <c r="F23" i="155"/>
  <c r="G23" i="155"/>
  <c r="H23" i="155"/>
  <c r="I23" i="155"/>
  <c r="J23" i="155"/>
  <c r="K23" i="155"/>
  <c r="L23" i="155"/>
  <c r="N23" i="155"/>
  <c r="E23" i="155"/>
  <c r="M23" i="155"/>
  <c r="N21" i="155"/>
  <c r="N20" i="155"/>
  <c r="N19" i="155"/>
  <c r="N18" i="155"/>
  <c r="N17" i="155"/>
  <c r="N16" i="155"/>
  <c r="N15" i="155"/>
  <c r="N24" i="155"/>
  <c r="N14" i="155"/>
  <c r="N7" i="150"/>
  <c r="K7" i="150"/>
  <c r="F8" i="150" s="1"/>
  <c r="D12" i="151"/>
  <c r="C13" i="151"/>
  <c r="Q5" i="121"/>
  <c r="Q4" i="121"/>
  <c r="B22" i="275" l="1"/>
  <c r="C22" i="275"/>
  <c r="D22" i="275"/>
  <c r="E22" i="275"/>
  <c r="F22" i="275"/>
  <c r="G22" i="275"/>
  <c r="A23" i="275"/>
  <c r="H21" i="275"/>
  <c r="D15" i="273"/>
  <c r="E15" i="273"/>
  <c r="A16" i="273"/>
  <c r="B15" i="273"/>
  <c r="C15" i="273"/>
  <c r="F14" i="273"/>
  <c r="B15" i="272"/>
  <c r="C15" i="272"/>
  <c r="D15" i="272"/>
  <c r="E15" i="272"/>
  <c r="A16" i="272"/>
  <c r="F14" i="272"/>
  <c r="AD16" i="156"/>
  <c r="F37" i="267"/>
  <c r="B15" i="266"/>
  <c r="E15" i="266"/>
  <c r="C15" i="266"/>
  <c r="D15" i="266"/>
  <c r="A16" i="266"/>
  <c r="G15" i="266"/>
  <c r="F14" i="266"/>
  <c r="H14" i="266" s="1"/>
  <c r="D15" i="265"/>
  <c r="B15" i="265"/>
  <c r="F15" i="265" s="1"/>
  <c r="H15" i="265" s="1"/>
  <c r="E15" i="265"/>
  <c r="C15" i="265"/>
  <c r="G15" i="265"/>
  <c r="A16" i="265"/>
  <c r="H14" i="265"/>
  <c r="D15" i="264"/>
  <c r="E15" i="264"/>
  <c r="B15" i="264"/>
  <c r="C15" i="264"/>
  <c r="G15" i="264"/>
  <c r="A16" i="264"/>
  <c r="F14" i="264"/>
  <c r="H14" i="264" s="1"/>
  <c r="AA17" i="260"/>
  <c r="AB17" i="260"/>
  <c r="Z18" i="260"/>
  <c r="AC17" i="260"/>
  <c r="D25" i="253"/>
  <c r="B25" i="253"/>
  <c r="E25" i="253"/>
  <c r="C25" i="253"/>
  <c r="A26" i="253"/>
  <c r="F24" i="253"/>
  <c r="B15" i="252"/>
  <c r="C15" i="252"/>
  <c r="D15" i="252"/>
  <c r="G15" i="252"/>
  <c r="A16" i="252"/>
  <c r="J13" i="252"/>
  <c r="E14" i="252"/>
  <c r="F14" i="252"/>
  <c r="H14" i="252"/>
  <c r="I14" i="252"/>
  <c r="B15" i="251"/>
  <c r="C15" i="251"/>
  <c r="A16" i="251"/>
  <c r="G15" i="251"/>
  <c r="D15" i="251"/>
  <c r="E14" i="251"/>
  <c r="F14" i="251"/>
  <c r="J14" i="251" s="1"/>
  <c r="H14" i="251"/>
  <c r="I14" i="251"/>
  <c r="A94" i="250"/>
  <c r="E93" i="250"/>
  <c r="D93" i="250"/>
  <c r="C93" i="250"/>
  <c r="B93" i="250"/>
  <c r="F93" i="250" s="1"/>
  <c r="F92" i="250"/>
  <c r="D61" i="239"/>
  <c r="F30" i="227"/>
  <c r="AA17" i="210"/>
  <c r="AB17" i="210"/>
  <c r="AC17" i="210"/>
  <c r="Z18" i="210"/>
  <c r="F9" i="178"/>
  <c r="M18" i="164"/>
  <c r="O18" i="164" s="1"/>
  <c r="N18" i="164"/>
  <c r="L19" i="164"/>
  <c r="E12" i="151"/>
  <c r="AA17" i="156"/>
  <c r="AB17" i="156"/>
  <c r="AC17" i="156"/>
  <c r="Z18" i="156"/>
  <c r="D13" i="151"/>
  <c r="C14" i="151"/>
  <c r="G8" i="150"/>
  <c r="H8" i="150" s="1"/>
  <c r="J8" i="150" s="1"/>
  <c r="I8" i="150"/>
  <c r="B23" i="275" l="1"/>
  <c r="C23" i="275"/>
  <c r="D23" i="275"/>
  <c r="E23" i="275"/>
  <c r="F23" i="275"/>
  <c r="G23" i="275"/>
  <c r="A24" i="275"/>
  <c r="H22" i="275"/>
  <c r="C16" i="273"/>
  <c r="E16" i="273"/>
  <c r="A17" i="273"/>
  <c r="B16" i="273"/>
  <c r="D16" i="273"/>
  <c r="F15" i="273"/>
  <c r="B16" i="272"/>
  <c r="C16" i="272"/>
  <c r="D16" i="272"/>
  <c r="E16" i="272"/>
  <c r="A17" i="272"/>
  <c r="F15" i="272"/>
  <c r="J14" i="252"/>
  <c r="AD17" i="156"/>
  <c r="C16" i="266"/>
  <c r="D16" i="266"/>
  <c r="B16" i="266"/>
  <c r="E16" i="266"/>
  <c r="A17" i="266"/>
  <c r="G16" i="266"/>
  <c r="F15" i="266"/>
  <c r="H15" i="266" s="1"/>
  <c r="E16" i="265"/>
  <c r="B16" i="265"/>
  <c r="C16" i="265"/>
  <c r="D16" i="265"/>
  <c r="G16" i="265"/>
  <c r="A17" i="265"/>
  <c r="C16" i="264"/>
  <c r="D16" i="264"/>
  <c r="E16" i="264"/>
  <c r="B16" i="264"/>
  <c r="G16" i="264"/>
  <c r="A17" i="264"/>
  <c r="F15" i="264"/>
  <c r="H15" i="264" s="1"/>
  <c r="AB18" i="260"/>
  <c r="AA18" i="260"/>
  <c r="AD18" i="260" s="1"/>
  <c r="AC18" i="260"/>
  <c r="Z19" i="260"/>
  <c r="AD17" i="260"/>
  <c r="B26" i="253"/>
  <c r="C26" i="253"/>
  <c r="D26" i="253"/>
  <c r="E26" i="253"/>
  <c r="A27" i="253"/>
  <c r="F25" i="253"/>
  <c r="B16" i="252"/>
  <c r="C16" i="252"/>
  <c r="D16" i="252"/>
  <c r="G16" i="252"/>
  <c r="A17" i="252"/>
  <c r="E15" i="252"/>
  <c r="F15" i="252"/>
  <c r="H15" i="252"/>
  <c r="I15" i="252"/>
  <c r="C16" i="251"/>
  <c r="B16" i="251"/>
  <c r="G16" i="251"/>
  <c r="D16" i="251"/>
  <c r="A17" i="251"/>
  <c r="H15" i="251"/>
  <c r="I15" i="251"/>
  <c r="E15" i="251"/>
  <c r="F15" i="251"/>
  <c r="J15" i="251" s="1"/>
  <c r="A95" i="250"/>
  <c r="E94" i="250"/>
  <c r="D94" i="250"/>
  <c r="C94" i="250"/>
  <c r="B94" i="250"/>
  <c r="F94" i="250" s="1"/>
  <c r="AB18" i="210"/>
  <c r="AA18" i="210"/>
  <c r="AD18" i="210" s="1"/>
  <c r="AC18" i="210"/>
  <c r="Z19" i="210"/>
  <c r="AD17" i="210"/>
  <c r="I9" i="178"/>
  <c r="G9" i="178"/>
  <c r="M19" i="164"/>
  <c r="O19" i="164" s="1"/>
  <c r="N19" i="164"/>
  <c r="L20" i="164"/>
  <c r="E13" i="151"/>
  <c r="AA18" i="156"/>
  <c r="AB18" i="156"/>
  <c r="Z19" i="156"/>
  <c r="AC18" i="156"/>
  <c r="N8" i="150"/>
  <c r="K8" i="150"/>
  <c r="F9" i="150"/>
  <c r="D14" i="151"/>
  <c r="C15" i="151"/>
  <c r="B24" i="275" l="1"/>
  <c r="C24" i="275"/>
  <c r="D24" i="275"/>
  <c r="E24" i="275"/>
  <c r="F24" i="275"/>
  <c r="G24" i="275"/>
  <c r="A25" i="275"/>
  <c r="H23" i="275"/>
  <c r="F16" i="273"/>
  <c r="C17" i="273"/>
  <c r="E17" i="273"/>
  <c r="A18" i="273"/>
  <c r="B17" i="273"/>
  <c r="D17" i="273"/>
  <c r="B17" i="272"/>
  <c r="C17" i="272"/>
  <c r="D17" i="272"/>
  <c r="E17" i="272"/>
  <c r="A18" i="272"/>
  <c r="F16" i="272"/>
  <c r="F16" i="266"/>
  <c r="H16" i="266" s="1"/>
  <c r="J15" i="252"/>
  <c r="C17" i="266"/>
  <c r="D17" i="266"/>
  <c r="B17" i="266"/>
  <c r="E17" i="266"/>
  <c r="G17" i="266"/>
  <c r="A18" i="266"/>
  <c r="D17" i="265"/>
  <c r="C17" i="265"/>
  <c r="E17" i="265"/>
  <c r="B17" i="265"/>
  <c r="F17" i="265" s="1"/>
  <c r="G17" i="265"/>
  <c r="A18" i="265"/>
  <c r="F16" i="265"/>
  <c r="H16" i="265" s="1"/>
  <c r="C17" i="264"/>
  <c r="E17" i="264"/>
  <c r="D17" i="264"/>
  <c r="B17" i="264"/>
  <c r="G17" i="264"/>
  <c r="A18" i="264"/>
  <c r="F16" i="264"/>
  <c r="H16" i="264" s="1"/>
  <c r="AB19" i="260"/>
  <c r="AA19" i="260"/>
  <c r="Z20" i="260"/>
  <c r="AC19" i="260"/>
  <c r="B27" i="253"/>
  <c r="D27" i="253"/>
  <c r="E27" i="253"/>
  <c r="C27" i="253"/>
  <c r="A28" i="253"/>
  <c r="F26" i="253"/>
  <c r="B17" i="252"/>
  <c r="C17" i="252"/>
  <c r="D17" i="252"/>
  <c r="G17" i="252"/>
  <c r="A18" i="252"/>
  <c r="E16" i="252"/>
  <c r="F16" i="252"/>
  <c r="H16" i="252"/>
  <c r="I16" i="252" s="1"/>
  <c r="B17" i="251"/>
  <c r="C17" i="251"/>
  <c r="G17" i="251"/>
  <c r="D17" i="251"/>
  <c r="A18" i="251"/>
  <c r="H16" i="251"/>
  <c r="I16" i="251"/>
  <c r="E16" i="251"/>
  <c r="F16" i="251"/>
  <c r="J16" i="251" s="1"/>
  <c r="A96" i="250"/>
  <c r="E95" i="250"/>
  <c r="D95" i="250"/>
  <c r="C95" i="250"/>
  <c r="B95" i="250"/>
  <c r="F95" i="250" s="1"/>
  <c r="AA19" i="210"/>
  <c r="AB19" i="210"/>
  <c r="AC19" i="210"/>
  <c r="Z20" i="210"/>
  <c r="H9" i="178"/>
  <c r="J9" i="178"/>
  <c r="M20" i="164"/>
  <c r="O20" i="164" s="1"/>
  <c r="N20" i="164"/>
  <c r="L21" i="164"/>
  <c r="E14" i="151"/>
  <c r="AA19" i="156"/>
  <c r="AB19" i="156"/>
  <c r="Z20" i="156"/>
  <c r="AC19" i="156"/>
  <c r="AD18" i="156"/>
  <c r="C16" i="151"/>
  <c r="D15" i="151"/>
  <c r="I9" i="150"/>
  <c r="G9" i="150"/>
  <c r="H9" i="150" s="1"/>
  <c r="J9" i="150" s="1"/>
  <c r="B25" i="275" l="1"/>
  <c r="F25" i="275"/>
  <c r="G25" i="275"/>
  <c r="C25" i="275"/>
  <c r="D25" i="275"/>
  <c r="E25" i="275"/>
  <c r="A26" i="275"/>
  <c r="H24" i="275"/>
  <c r="C18" i="273"/>
  <c r="E18" i="273"/>
  <c r="A19" i="273"/>
  <c r="B18" i="273"/>
  <c r="D18" i="273"/>
  <c r="F17" i="273"/>
  <c r="B18" i="272"/>
  <c r="C18" i="272"/>
  <c r="D18" i="272"/>
  <c r="E18" i="272"/>
  <c r="A19" i="272"/>
  <c r="F17" i="272"/>
  <c r="F17" i="266"/>
  <c r="H17" i="266" s="1"/>
  <c r="D18" i="266"/>
  <c r="B18" i="266"/>
  <c r="C18" i="266"/>
  <c r="E18" i="266"/>
  <c r="G18" i="266"/>
  <c r="A19" i="266"/>
  <c r="D18" i="265"/>
  <c r="E18" i="265"/>
  <c r="B18" i="265"/>
  <c r="C18" i="265"/>
  <c r="G18" i="265"/>
  <c r="A19" i="265"/>
  <c r="H17" i="265"/>
  <c r="B18" i="264"/>
  <c r="D18" i="264"/>
  <c r="E18" i="264"/>
  <c r="C18" i="264"/>
  <c r="G18" i="264"/>
  <c r="A19" i="264"/>
  <c r="F17" i="264"/>
  <c r="H17" i="264" s="1"/>
  <c r="AA20" i="260"/>
  <c r="AB20" i="260"/>
  <c r="Z21" i="260"/>
  <c r="AC20" i="260"/>
  <c r="AD19" i="260"/>
  <c r="D28" i="253"/>
  <c r="C28" i="253"/>
  <c r="E28" i="253"/>
  <c r="B28" i="253"/>
  <c r="F28" i="253" s="1"/>
  <c r="A29" i="253"/>
  <c r="F27" i="253"/>
  <c r="B18" i="252"/>
  <c r="C18" i="252"/>
  <c r="D18" i="252"/>
  <c r="G18" i="252"/>
  <c r="A19" i="252"/>
  <c r="J16" i="252"/>
  <c r="E17" i="252"/>
  <c r="F17" i="252"/>
  <c r="H17" i="252"/>
  <c r="I17" i="252"/>
  <c r="B18" i="251"/>
  <c r="C18" i="251"/>
  <c r="A19" i="251"/>
  <c r="D18" i="251"/>
  <c r="G18" i="251"/>
  <c r="H17" i="251"/>
  <c r="I17" i="251"/>
  <c r="E17" i="251"/>
  <c r="F17" i="251"/>
  <c r="J17" i="251" s="1"/>
  <c r="A97" i="250"/>
  <c r="E96" i="250"/>
  <c r="D96" i="250"/>
  <c r="C96" i="250"/>
  <c r="B96" i="250"/>
  <c r="AA20" i="210"/>
  <c r="AB20" i="210"/>
  <c r="AC20" i="210"/>
  <c r="Z21" i="210"/>
  <c r="AD19" i="210"/>
  <c r="F10" i="178"/>
  <c r="E15" i="151"/>
  <c r="M21" i="164"/>
  <c r="O21" i="164" s="1"/>
  <c r="N21" i="164"/>
  <c r="L22" i="164"/>
  <c r="AB20" i="156"/>
  <c r="AA20" i="156"/>
  <c r="Z21" i="156"/>
  <c r="AC20" i="156"/>
  <c r="AD19" i="156"/>
  <c r="N9" i="150"/>
  <c r="K9" i="150"/>
  <c r="F10" i="150" s="1"/>
  <c r="D16" i="151"/>
  <c r="C17" i="151"/>
  <c r="G26" i="275" l="1"/>
  <c r="E26" i="275"/>
  <c r="B26" i="275"/>
  <c r="F26" i="275"/>
  <c r="D26" i="275"/>
  <c r="C26" i="275"/>
  <c r="A27" i="275"/>
  <c r="H25" i="275"/>
  <c r="B19" i="273"/>
  <c r="C19" i="273"/>
  <c r="D19" i="273"/>
  <c r="E19" i="273"/>
  <c r="A20" i="273"/>
  <c r="F18" i="273"/>
  <c r="B19" i="272"/>
  <c r="E19" i="272"/>
  <c r="C19" i="272"/>
  <c r="D19" i="272"/>
  <c r="A20" i="272"/>
  <c r="F18" i="272"/>
  <c r="F18" i="266"/>
  <c r="H18" i="266" s="1"/>
  <c r="J17" i="252"/>
  <c r="AD20" i="156"/>
  <c r="E19" i="266"/>
  <c r="C19" i="266"/>
  <c r="D19" i="266"/>
  <c r="B19" i="266"/>
  <c r="G19" i="266"/>
  <c r="A20" i="266"/>
  <c r="D19" i="265"/>
  <c r="E19" i="265"/>
  <c r="B19" i="265"/>
  <c r="C19" i="265"/>
  <c r="G19" i="265"/>
  <c r="A20" i="265"/>
  <c r="F18" i="265"/>
  <c r="H18" i="265" s="1"/>
  <c r="D19" i="264"/>
  <c r="E19" i="264"/>
  <c r="B19" i="264"/>
  <c r="C19" i="264"/>
  <c r="G19" i="264"/>
  <c r="A20" i="264"/>
  <c r="F18" i="264"/>
  <c r="H18" i="264" s="1"/>
  <c r="AA21" i="260"/>
  <c r="AB21" i="260"/>
  <c r="AC21" i="260"/>
  <c r="Z22" i="260"/>
  <c r="AD20" i="260"/>
  <c r="D29" i="253"/>
  <c r="B29" i="253"/>
  <c r="C29" i="253"/>
  <c r="E29" i="253"/>
  <c r="A30" i="253"/>
  <c r="B19" i="252"/>
  <c r="C19" i="252"/>
  <c r="D19" i="252"/>
  <c r="G19" i="252"/>
  <c r="A20" i="252"/>
  <c r="E18" i="252"/>
  <c r="F18" i="252"/>
  <c r="H18" i="252"/>
  <c r="I18" i="252"/>
  <c r="B19" i="251"/>
  <c r="C19" i="251"/>
  <c r="A20" i="251"/>
  <c r="D19" i="251"/>
  <c r="G19" i="251"/>
  <c r="E18" i="251"/>
  <c r="F18" i="251"/>
  <c r="J18" i="251" s="1"/>
  <c r="H18" i="251"/>
  <c r="I18" i="251"/>
  <c r="A98" i="250"/>
  <c r="E97" i="250"/>
  <c r="D97" i="250"/>
  <c r="C97" i="250"/>
  <c r="B97" i="250"/>
  <c r="F96" i="250"/>
  <c r="AA21" i="210"/>
  <c r="AB21" i="210"/>
  <c r="AC21" i="210"/>
  <c r="Z22" i="210"/>
  <c r="AD20" i="210"/>
  <c r="G10" i="178"/>
  <c r="I10" i="178"/>
  <c r="E16" i="151"/>
  <c r="M22" i="164"/>
  <c r="O22" i="164" s="1"/>
  <c r="N22" i="164"/>
  <c r="L23" i="164"/>
  <c r="AA21" i="156"/>
  <c r="AB21" i="156"/>
  <c r="AC21" i="156"/>
  <c r="Z22" i="156"/>
  <c r="D17" i="151"/>
  <c r="C18" i="151"/>
  <c r="B18" i="151" s="1"/>
  <c r="D18" i="151" s="1"/>
  <c r="I10" i="150"/>
  <c r="G10" i="150"/>
  <c r="H10" i="150" s="1"/>
  <c r="G27" i="275" l="1"/>
  <c r="B27" i="275"/>
  <c r="C27" i="275"/>
  <c r="D27" i="275"/>
  <c r="E27" i="275"/>
  <c r="F27" i="275"/>
  <c r="A28" i="275"/>
  <c r="H26" i="275"/>
  <c r="F19" i="273"/>
  <c r="D20" i="273"/>
  <c r="A21" i="273"/>
  <c r="B20" i="273"/>
  <c r="C20" i="273"/>
  <c r="E20" i="273"/>
  <c r="F19" i="272"/>
  <c r="B20" i="272"/>
  <c r="D20" i="272"/>
  <c r="E20" i="272"/>
  <c r="C20" i="272"/>
  <c r="A21" i="272"/>
  <c r="F19" i="266"/>
  <c r="H19" i="266" s="1"/>
  <c r="AD21" i="156"/>
  <c r="D21" i="151"/>
  <c r="C20" i="266"/>
  <c r="D20" i="266"/>
  <c r="E20" i="266"/>
  <c r="B20" i="266"/>
  <c r="G20" i="266"/>
  <c r="A21" i="266"/>
  <c r="D20" i="265"/>
  <c r="E20" i="265"/>
  <c r="B20" i="265"/>
  <c r="C20" i="265"/>
  <c r="G20" i="265"/>
  <c r="A21" i="265"/>
  <c r="F19" i="265"/>
  <c r="H19" i="265" s="1"/>
  <c r="D20" i="264"/>
  <c r="E20" i="264"/>
  <c r="B20" i="264"/>
  <c r="C20" i="264"/>
  <c r="G20" i="264"/>
  <c r="A21" i="264"/>
  <c r="F19" i="264"/>
  <c r="H19" i="264" s="1"/>
  <c r="AB22" i="260"/>
  <c r="AA22" i="260"/>
  <c r="AC22" i="260"/>
  <c r="Z23" i="260"/>
  <c r="AD21" i="260"/>
  <c r="C30" i="253"/>
  <c r="D30" i="253"/>
  <c r="B30" i="253"/>
  <c r="F30" i="253" s="1"/>
  <c r="E30" i="253"/>
  <c r="A31" i="253"/>
  <c r="F29" i="253"/>
  <c r="B20" i="252"/>
  <c r="C20" i="252"/>
  <c r="D20" i="252"/>
  <c r="G20" i="252"/>
  <c r="A21" i="252"/>
  <c r="J18" i="252"/>
  <c r="E19" i="252"/>
  <c r="F19" i="252"/>
  <c r="J19" i="252" s="1"/>
  <c r="H19" i="252"/>
  <c r="I19" i="252"/>
  <c r="B20" i="251"/>
  <c r="C20" i="251"/>
  <c r="A21" i="251"/>
  <c r="D20" i="251"/>
  <c r="G20" i="251"/>
  <c r="E19" i="251"/>
  <c r="F19" i="251"/>
  <c r="J19" i="251" s="1"/>
  <c r="H19" i="251"/>
  <c r="I19" i="251"/>
  <c r="A99" i="250"/>
  <c r="E98" i="250"/>
  <c r="D98" i="250"/>
  <c r="C98" i="250"/>
  <c r="B98" i="250"/>
  <c r="F97" i="250"/>
  <c r="AA22" i="210"/>
  <c r="AB22" i="210"/>
  <c r="AC22" i="210"/>
  <c r="Z23" i="210"/>
  <c r="AD21" i="210"/>
  <c r="H10" i="178"/>
  <c r="J10" i="178"/>
  <c r="E17" i="151"/>
  <c r="E18" i="151" s="1"/>
  <c r="M23" i="164"/>
  <c r="O23" i="164" s="1"/>
  <c r="N23" i="164"/>
  <c r="L24" i="164"/>
  <c r="AA22" i="156"/>
  <c r="AD22" i="156" s="1"/>
  <c r="AB22" i="156"/>
  <c r="AC22" i="156"/>
  <c r="Z23" i="156"/>
  <c r="J10" i="150"/>
  <c r="H27" i="275" l="1"/>
  <c r="E28" i="275"/>
  <c r="F28" i="275"/>
  <c r="G28" i="275"/>
  <c r="C28" i="275"/>
  <c r="D28" i="275"/>
  <c r="B28" i="275"/>
  <c r="A29" i="275"/>
  <c r="B21" i="273"/>
  <c r="C21" i="273"/>
  <c r="D21" i="273"/>
  <c r="E21" i="273"/>
  <c r="A22" i="273"/>
  <c r="F20" i="273"/>
  <c r="E21" i="272"/>
  <c r="B21" i="272"/>
  <c r="C21" i="272"/>
  <c r="D21" i="272"/>
  <c r="A22" i="272"/>
  <c r="F20" i="272"/>
  <c r="D21" i="266"/>
  <c r="C21" i="266"/>
  <c r="B21" i="266"/>
  <c r="E21" i="266"/>
  <c r="G21" i="266"/>
  <c r="A22" i="266"/>
  <c r="F20" i="266"/>
  <c r="H20" i="266" s="1"/>
  <c r="B21" i="265"/>
  <c r="D21" i="265"/>
  <c r="E21" i="265"/>
  <c r="C21" i="265"/>
  <c r="G21" i="265"/>
  <c r="A22" i="265"/>
  <c r="F20" i="265"/>
  <c r="H20" i="265" s="1"/>
  <c r="E21" i="264"/>
  <c r="D21" i="264"/>
  <c r="B21" i="264"/>
  <c r="F21" i="264" s="1"/>
  <c r="H21" i="264" s="1"/>
  <c r="C21" i="264"/>
  <c r="G21" i="264"/>
  <c r="A22" i="264"/>
  <c r="F20" i="264"/>
  <c r="H20" i="264" s="1"/>
  <c r="AB23" i="260"/>
  <c r="AA23" i="260"/>
  <c r="AD23" i="260" s="1"/>
  <c r="Z24" i="260"/>
  <c r="AC23" i="260"/>
  <c r="AD22" i="260"/>
  <c r="D31" i="253"/>
  <c r="E31" i="253"/>
  <c r="B31" i="253"/>
  <c r="F31" i="253" s="1"/>
  <c r="C31" i="253"/>
  <c r="A32" i="253"/>
  <c r="B21" i="252"/>
  <c r="C21" i="252"/>
  <c r="D21" i="252"/>
  <c r="G21" i="252"/>
  <c r="A22" i="252"/>
  <c r="E20" i="252"/>
  <c r="F20" i="252"/>
  <c r="H20" i="252"/>
  <c r="I20" i="252"/>
  <c r="B21" i="251"/>
  <c r="C21" i="251"/>
  <c r="D21" i="251"/>
  <c r="G21" i="251"/>
  <c r="A22" i="251"/>
  <c r="E20" i="251"/>
  <c r="F20" i="251"/>
  <c r="J20" i="251" s="1"/>
  <c r="H20" i="251"/>
  <c r="I20" i="251"/>
  <c r="A100" i="250"/>
  <c r="E99" i="250"/>
  <c r="D99" i="250"/>
  <c r="C99" i="250"/>
  <c r="B99" i="250"/>
  <c r="F98" i="250"/>
  <c r="AB23" i="210"/>
  <c r="AA23" i="210"/>
  <c r="AD23" i="210" s="1"/>
  <c r="AC23" i="210"/>
  <c r="Z24" i="210"/>
  <c r="AD22" i="210"/>
  <c r="F11" i="178"/>
  <c r="M24" i="164"/>
  <c r="O24" i="164" s="1"/>
  <c r="N24" i="164"/>
  <c r="L25" i="164"/>
  <c r="AB23" i="156"/>
  <c r="AA23" i="156"/>
  <c r="AC23" i="156"/>
  <c r="Z24" i="156"/>
  <c r="N10" i="150"/>
  <c r="K10" i="150"/>
  <c r="F11" i="150" s="1"/>
  <c r="I11" i="150"/>
  <c r="G11" i="150"/>
  <c r="H11" i="150" s="1"/>
  <c r="J11" i="150" s="1"/>
  <c r="H28" i="275" l="1"/>
  <c r="G29" i="275"/>
  <c r="F29" i="275"/>
  <c r="C29" i="275"/>
  <c r="D29" i="275"/>
  <c r="E29" i="275"/>
  <c r="B29" i="275"/>
  <c r="A30" i="275"/>
  <c r="B22" i="273"/>
  <c r="C22" i="273"/>
  <c r="D22" i="273"/>
  <c r="E22" i="273"/>
  <c r="A23" i="273"/>
  <c r="F21" i="273"/>
  <c r="B22" i="272"/>
  <c r="E22" i="272"/>
  <c r="C22" i="272"/>
  <c r="D22" i="272"/>
  <c r="A23" i="272"/>
  <c r="F21" i="272"/>
  <c r="J20" i="252"/>
  <c r="B22" i="266"/>
  <c r="C22" i="266"/>
  <c r="D22" i="266"/>
  <c r="E22" i="266"/>
  <c r="G22" i="266"/>
  <c r="A23" i="266"/>
  <c r="F21" i="266"/>
  <c r="H21" i="266" s="1"/>
  <c r="B22" i="265"/>
  <c r="E22" i="265"/>
  <c r="C22" i="265"/>
  <c r="D22" i="265"/>
  <c r="G22" i="265"/>
  <c r="A23" i="265"/>
  <c r="F21" i="265"/>
  <c r="H21" i="265" s="1"/>
  <c r="D22" i="264"/>
  <c r="E22" i="264"/>
  <c r="B22" i="264"/>
  <c r="C22" i="264"/>
  <c r="G22" i="264"/>
  <c r="A23" i="264"/>
  <c r="AA24" i="260"/>
  <c r="AD24" i="260" s="1"/>
  <c r="AB24" i="260"/>
  <c r="Z25" i="260"/>
  <c r="AC24" i="260"/>
  <c r="D32" i="253"/>
  <c r="E32" i="253"/>
  <c r="B32" i="253"/>
  <c r="C32" i="253"/>
  <c r="A33" i="253"/>
  <c r="B22" i="252"/>
  <c r="C22" i="252"/>
  <c r="D22" i="252"/>
  <c r="G22" i="252"/>
  <c r="A23" i="252"/>
  <c r="E21" i="252"/>
  <c r="F21" i="252" s="1"/>
  <c r="J21" i="252" s="1"/>
  <c r="H21" i="252"/>
  <c r="I21" i="252"/>
  <c r="B22" i="251"/>
  <c r="C22" i="251"/>
  <c r="A23" i="251"/>
  <c r="D22" i="251"/>
  <c r="G22" i="251"/>
  <c r="E21" i="251"/>
  <c r="F21" i="251"/>
  <c r="H21" i="251"/>
  <c r="I21" i="251"/>
  <c r="A101" i="250"/>
  <c r="E100" i="250"/>
  <c r="D100" i="250"/>
  <c r="C100" i="250"/>
  <c r="B100" i="250"/>
  <c r="F100" i="250" s="1"/>
  <c r="F99" i="250"/>
  <c r="AA24" i="210"/>
  <c r="AB24" i="210"/>
  <c r="AC24" i="210"/>
  <c r="Z25" i="210"/>
  <c r="G11" i="178"/>
  <c r="I11" i="178"/>
  <c r="M25" i="164"/>
  <c r="O25" i="164" s="1"/>
  <c r="N25" i="164"/>
  <c r="L26" i="164"/>
  <c r="AB24" i="156"/>
  <c r="AA24" i="156"/>
  <c r="AC24" i="156"/>
  <c r="Z25" i="156"/>
  <c r="AD23" i="156"/>
  <c r="N11" i="150"/>
  <c r="K11" i="150"/>
  <c r="F12" i="150"/>
  <c r="H29" i="275" l="1"/>
  <c r="B30" i="275"/>
  <c r="G30" i="275"/>
  <c r="E30" i="275"/>
  <c r="C30" i="275"/>
  <c r="D30" i="275"/>
  <c r="F30" i="275"/>
  <c r="A31" i="275"/>
  <c r="B23" i="273"/>
  <c r="C23" i="273"/>
  <c r="D23" i="273"/>
  <c r="E23" i="273"/>
  <c r="A24" i="273"/>
  <c r="F22" i="273"/>
  <c r="B23" i="272"/>
  <c r="E23" i="272"/>
  <c r="C23" i="272"/>
  <c r="D23" i="272"/>
  <c r="A24" i="272"/>
  <c r="F22" i="272"/>
  <c r="D23" i="266"/>
  <c r="C23" i="266"/>
  <c r="B23" i="266"/>
  <c r="E23" i="266"/>
  <c r="G23" i="266"/>
  <c r="A24" i="266"/>
  <c r="F22" i="266"/>
  <c r="H22" i="266" s="1"/>
  <c r="B23" i="265"/>
  <c r="D23" i="265"/>
  <c r="E23" i="265"/>
  <c r="C23" i="265"/>
  <c r="G23" i="265"/>
  <c r="A24" i="265"/>
  <c r="F22" i="265"/>
  <c r="H22" i="265" s="1"/>
  <c r="B23" i="264"/>
  <c r="D23" i="264"/>
  <c r="E23" i="264"/>
  <c r="C23" i="264"/>
  <c r="G23" i="264"/>
  <c r="A24" i="264"/>
  <c r="F22" i="264"/>
  <c r="H22" i="264" s="1"/>
  <c r="AA25" i="260"/>
  <c r="AB25" i="260"/>
  <c r="Z26" i="260"/>
  <c r="AC25" i="260"/>
  <c r="B33" i="253"/>
  <c r="E33" i="253"/>
  <c r="D33" i="253"/>
  <c r="C33" i="253"/>
  <c r="A34" i="253"/>
  <c r="F32" i="253"/>
  <c r="B23" i="252"/>
  <c r="C23" i="252"/>
  <c r="D23" i="252"/>
  <c r="G23" i="252"/>
  <c r="A24" i="252"/>
  <c r="E22" i="252"/>
  <c r="F22" i="252"/>
  <c r="H22" i="252"/>
  <c r="I22" i="252"/>
  <c r="B23" i="251"/>
  <c r="C23" i="251"/>
  <c r="D23" i="251"/>
  <c r="G23" i="251"/>
  <c r="A24" i="251"/>
  <c r="J21" i="251"/>
  <c r="E22" i="251"/>
  <c r="F22" i="251"/>
  <c r="J22" i="251" s="1"/>
  <c r="H22" i="251"/>
  <c r="I22" i="251"/>
  <c r="A102" i="250"/>
  <c r="E101" i="250"/>
  <c r="D101" i="250"/>
  <c r="C101" i="250"/>
  <c r="B101" i="250"/>
  <c r="F101" i="250" s="1"/>
  <c r="AA25" i="210"/>
  <c r="AB25" i="210"/>
  <c r="Z26" i="210"/>
  <c r="AC25" i="210"/>
  <c r="AD24" i="210"/>
  <c r="H11" i="178"/>
  <c r="J11" i="178"/>
  <c r="M26" i="164"/>
  <c r="O26" i="164" s="1"/>
  <c r="N26" i="164"/>
  <c r="L27" i="164"/>
  <c r="AA25" i="156"/>
  <c r="AB25" i="156"/>
  <c r="AC25" i="156"/>
  <c r="Z26" i="156"/>
  <c r="AD24" i="156"/>
  <c r="G12" i="150"/>
  <c r="H12" i="150" s="1"/>
  <c r="I12" i="150"/>
  <c r="H30" i="275" l="1"/>
  <c r="C31" i="275"/>
  <c r="G31" i="275"/>
  <c r="F31" i="275"/>
  <c r="D31" i="275"/>
  <c r="E31" i="275"/>
  <c r="B31" i="275"/>
  <c r="A32" i="275"/>
  <c r="D24" i="273"/>
  <c r="C24" i="273"/>
  <c r="B24" i="273"/>
  <c r="E24" i="273"/>
  <c r="A25" i="273"/>
  <c r="F23" i="273"/>
  <c r="F23" i="272"/>
  <c r="E24" i="272"/>
  <c r="B24" i="272"/>
  <c r="C24" i="272"/>
  <c r="D24" i="272"/>
  <c r="A25" i="272"/>
  <c r="F23" i="266"/>
  <c r="H23" i="266" s="1"/>
  <c r="D24" i="266"/>
  <c r="B24" i="266"/>
  <c r="C24" i="266"/>
  <c r="E24" i="266"/>
  <c r="G24" i="266"/>
  <c r="A25" i="266"/>
  <c r="B24" i="265"/>
  <c r="E24" i="265"/>
  <c r="D24" i="265"/>
  <c r="C24" i="265"/>
  <c r="G24" i="265"/>
  <c r="A25" i="265"/>
  <c r="F23" i="265"/>
  <c r="H23" i="265" s="1"/>
  <c r="E24" i="264"/>
  <c r="D24" i="264"/>
  <c r="B24" i="264"/>
  <c r="C24" i="264"/>
  <c r="G24" i="264"/>
  <c r="A25" i="264"/>
  <c r="F23" i="264"/>
  <c r="H23" i="264" s="1"/>
  <c r="AB26" i="260"/>
  <c r="AA26" i="260"/>
  <c r="Z27" i="260"/>
  <c r="AC26" i="260"/>
  <c r="AD25" i="260"/>
  <c r="B34" i="253"/>
  <c r="E34" i="253"/>
  <c r="C34" i="253"/>
  <c r="D34" i="253"/>
  <c r="A35" i="253"/>
  <c r="F33" i="253"/>
  <c r="B24" i="252"/>
  <c r="C24" i="252"/>
  <c r="D24" i="252"/>
  <c r="G24" i="252"/>
  <c r="A25" i="252"/>
  <c r="J22" i="252"/>
  <c r="E23" i="252"/>
  <c r="F23" i="252" s="1"/>
  <c r="J23" i="252" s="1"/>
  <c r="H23" i="252"/>
  <c r="I23" i="252"/>
  <c r="C24" i="251"/>
  <c r="B24" i="251"/>
  <c r="D24" i="251"/>
  <c r="G24" i="251"/>
  <c r="A25" i="251"/>
  <c r="E23" i="251"/>
  <c r="F23" i="251"/>
  <c r="J23" i="251" s="1"/>
  <c r="H23" i="251"/>
  <c r="I23" i="251"/>
  <c r="A103" i="250"/>
  <c r="E102" i="250"/>
  <c r="D102" i="250"/>
  <c r="C102" i="250"/>
  <c r="B102" i="250"/>
  <c r="AA26" i="210"/>
  <c r="AB26" i="210"/>
  <c r="AC26" i="210"/>
  <c r="Z27" i="210"/>
  <c r="AD25" i="210"/>
  <c r="F12" i="178"/>
  <c r="M27" i="164"/>
  <c r="O27" i="164" s="1"/>
  <c r="N27" i="164"/>
  <c r="L28" i="164"/>
  <c r="AA26" i="156"/>
  <c r="AB26" i="156"/>
  <c r="Z27" i="156"/>
  <c r="AC26" i="156"/>
  <c r="AD25" i="156"/>
  <c r="J12" i="150"/>
  <c r="H31" i="275" l="1"/>
  <c r="E32" i="275"/>
  <c r="G32" i="275"/>
  <c r="F32" i="275"/>
  <c r="B32" i="275"/>
  <c r="C32" i="275"/>
  <c r="D32" i="275"/>
  <c r="A33" i="275"/>
  <c r="C25" i="273"/>
  <c r="D25" i="273"/>
  <c r="E25" i="273"/>
  <c r="B25" i="273"/>
  <c r="A26" i="273"/>
  <c r="F24" i="273"/>
  <c r="E25" i="272"/>
  <c r="B25" i="272"/>
  <c r="C25" i="272"/>
  <c r="D25" i="272"/>
  <c r="A26" i="272"/>
  <c r="F24" i="272"/>
  <c r="C25" i="266"/>
  <c r="D25" i="266"/>
  <c r="B25" i="266"/>
  <c r="E25" i="266"/>
  <c r="G25" i="266"/>
  <c r="A26" i="266"/>
  <c r="F24" i="266"/>
  <c r="H24" i="266" s="1"/>
  <c r="D25" i="265"/>
  <c r="B25" i="265"/>
  <c r="F25" i="265" s="1"/>
  <c r="E25" i="265"/>
  <c r="C25" i="265"/>
  <c r="G25" i="265"/>
  <c r="A26" i="265"/>
  <c r="F24" i="265"/>
  <c r="H24" i="265" s="1"/>
  <c r="D25" i="264"/>
  <c r="E25" i="264"/>
  <c r="B25" i="264"/>
  <c r="C25" i="264"/>
  <c r="G25" i="264"/>
  <c r="A26" i="264"/>
  <c r="F24" i="264"/>
  <c r="H24" i="264" s="1"/>
  <c r="AB27" i="260"/>
  <c r="AA27" i="260"/>
  <c r="Z28" i="260"/>
  <c r="AC27" i="260"/>
  <c r="AD26" i="260"/>
  <c r="D35" i="253"/>
  <c r="B35" i="253"/>
  <c r="C35" i="253"/>
  <c r="E35" i="253"/>
  <c r="A36" i="253"/>
  <c r="F34" i="253"/>
  <c r="B25" i="252"/>
  <c r="C25" i="252"/>
  <c r="D25" i="252"/>
  <c r="G25" i="252"/>
  <c r="A26" i="252"/>
  <c r="E24" i="252"/>
  <c r="F24" i="252"/>
  <c r="H24" i="252"/>
  <c r="I24" i="252"/>
  <c r="B25" i="251"/>
  <c r="C25" i="251"/>
  <c r="G25" i="251"/>
  <c r="A26" i="251"/>
  <c r="D25" i="251"/>
  <c r="E24" i="251"/>
  <c r="F24" i="251"/>
  <c r="H24" i="251"/>
  <c r="I24" i="251"/>
  <c r="A104" i="250"/>
  <c r="E103" i="250"/>
  <c r="D103" i="250"/>
  <c r="C103" i="250"/>
  <c r="B103" i="250"/>
  <c r="F102" i="250"/>
  <c r="AA27" i="210"/>
  <c r="AB27" i="210"/>
  <c r="AC27" i="210"/>
  <c r="Z28" i="210"/>
  <c r="AD26" i="210"/>
  <c r="I12" i="178"/>
  <c r="G12" i="178"/>
  <c r="M28" i="164"/>
  <c r="O28" i="164" s="1"/>
  <c r="N28" i="164"/>
  <c r="L29" i="164"/>
  <c r="AA27" i="156"/>
  <c r="AB27" i="156"/>
  <c r="Z28" i="156"/>
  <c r="AC27" i="156"/>
  <c r="AD26" i="156"/>
  <c r="N12" i="150"/>
  <c r="K12" i="150"/>
  <c r="F13" i="150" s="1"/>
  <c r="I13" i="150"/>
  <c r="G13" i="150"/>
  <c r="H13" i="150" s="1"/>
  <c r="B33" i="275" l="1"/>
  <c r="G33" i="275"/>
  <c r="F33" i="275"/>
  <c r="C33" i="275"/>
  <c r="D33" i="275"/>
  <c r="E33" i="275"/>
  <c r="A34" i="275"/>
  <c r="H32" i="275"/>
  <c r="F25" i="273"/>
  <c r="D26" i="273"/>
  <c r="C26" i="273"/>
  <c r="E26" i="273"/>
  <c r="B26" i="273"/>
  <c r="A27" i="273"/>
  <c r="F25" i="272"/>
  <c r="B26" i="272"/>
  <c r="E26" i="272"/>
  <c r="C26" i="272"/>
  <c r="D26" i="272"/>
  <c r="A27" i="272"/>
  <c r="F25" i="266"/>
  <c r="H25" i="266" s="1"/>
  <c r="J24" i="252"/>
  <c r="C26" i="266"/>
  <c r="E26" i="266"/>
  <c r="D26" i="266"/>
  <c r="B26" i="266"/>
  <c r="G26" i="266"/>
  <c r="A27" i="266"/>
  <c r="D26" i="265"/>
  <c r="E26" i="265"/>
  <c r="B26" i="265"/>
  <c r="F26" i="265" s="1"/>
  <c r="H26" i="265" s="1"/>
  <c r="C26" i="265"/>
  <c r="G26" i="265"/>
  <c r="A27" i="265"/>
  <c r="H25" i="265"/>
  <c r="D26" i="264"/>
  <c r="E26" i="264"/>
  <c r="B26" i="264"/>
  <c r="C26" i="264"/>
  <c r="G26" i="264"/>
  <c r="A27" i="264"/>
  <c r="F25" i="264"/>
  <c r="H25" i="264" s="1"/>
  <c r="AB28" i="260"/>
  <c r="AA28" i="260"/>
  <c r="AC28" i="260"/>
  <c r="Z29" i="260"/>
  <c r="AD27" i="260"/>
  <c r="B36" i="253"/>
  <c r="D36" i="253"/>
  <c r="E36" i="253"/>
  <c r="C36" i="253"/>
  <c r="A37" i="253"/>
  <c r="F35" i="253"/>
  <c r="B26" i="252"/>
  <c r="C26" i="252"/>
  <c r="D26" i="252"/>
  <c r="G26" i="252"/>
  <c r="A27" i="252"/>
  <c r="E25" i="252"/>
  <c r="F25" i="252" s="1"/>
  <c r="H25" i="252"/>
  <c r="I25" i="252"/>
  <c r="C26" i="251"/>
  <c r="B26" i="251"/>
  <c r="D26" i="251"/>
  <c r="G26" i="251"/>
  <c r="A27" i="251"/>
  <c r="J24" i="251"/>
  <c r="H25" i="251"/>
  <c r="I25" i="251"/>
  <c r="E25" i="251"/>
  <c r="F25" i="251"/>
  <c r="J25" i="251" s="1"/>
  <c r="E104" i="250"/>
  <c r="D104" i="250"/>
  <c r="C104" i="250"/>
  <c r="B104" i="250"/>
  <c r="F104" i="250" s="1"/>
  <c r="F103" i="250"/>
  <c r="AA28" i="210"/>
  <c r="AB28" i="210"/>
  <c r="AC28" i="210"/>
  <c r="Z29" i="210"/>
  <c r="AD27" i="210"/>
  <c r="H12" i="178"/>
  <c r="J12" i="178"/>
  <c r="M29" i="164"/>
  <c r="O29" i="164" s="1"/>
  <c r="N29" i="164"/>
  <c r="L30" i="164"/>
  <c r="AA28" i="156"/>
  <c r="AB28" i="156"/>
  <c r="AC28" i="156"/>
  <c r="Z29" i="156"/>
  <c r="AD27" i="156"/>
  <c r="J13" i="150"/>
  <c r="G34" i="275" l="1"/>
  <c r="F34" i="275"/>
  <c r="C34" i="275"/>
  <c r="D34" i="275"/>
  <c r="E34" i="275"/>
  <c r="B34" i="275"/>
  <c r="A35" i="275"/>
  <c r="H33" i="275"/>
  <c r="D27" i="273"/>
  <c r="B27" i="273"/>
  <c r="C27" i="273"/>
  <c r="E27" i="273"/>
  <c r="A28" i="273"/>
  <c r="F26" i="273"/>
  <c r="D27" i="272"/>
  <c r="E27" i="272"/>
  <c r="B27" i="272"/>
  <c r="C27" i="272"/>
  <c r="A28" i="272"/>
  <c r="F26" i="272"/>
  <c r="F26" i="266"/>
  <c r="H26" i="266" s="1"/>
  <c r="J25" i="252"/>
  <c r="D27" i="266"/>
  <c r="C27" i="266"/>
  <c r="B27" i="266"/>
  <c r="E27" i="266"/>
  <c r="G27" i="266"/>
  <c r="A28" i="266"/>
  <c r="E27" i="265"/>
  <c r="C27" i="265"/>
  <c r="B27" i="265"/>
  <c r="F27" i="265" s="1"/>
  <c r="H27" i="265" s="1"/>
  <c r="D27" i="265"/>
  <c r="G27" i="265"/>
  <c r="A28" i="265"/>
  <c r="D27" i="264"/>
  <c r="E27" i="264"/>
  <c r="B27" i="264"/>
  <c r="F27" i="264" s="1"/>
  <c r="H27" i="264" s="1"/>
  <c r="C27" i="264"/>
  <c r="G27" i="264"/>
  <c r="A28" i="264"/>
  <c r="F26" i="264"/>
  <c r="H26" i="264" s="1"/>
  <c r="AB29" i="260"/>
  <c r="AA29" i="260"/>
  <c r="Z30" i="260"/>
  <c r="AC29" i="260"/>
  <c r="AD28" i="260"/>
  <c r="C37" i="253"/>
  <c r="E37" i="253"/>
  <c r="B37" i="253"/>
  <c r="D37" i="253"/>
  <c r="A38" i="253"/>
  <c r="F36" i="253"/>
  <c r="B27" i="252"/>
  <c r="C27" i="252"/>
  <c r="D27" i="252"/>
  <c r="G27" i="252"/>
  <c r="A28" i="252"/>
  <c r="E26" i="252"/>
  <c r="F26" i="252"/>
  <c r="H26" i="252"/>
  <c r="I26" i="252" s="1"/>
  <c r="B27" i="251"/>
  <c r="C27" i="251"/>
  <c r="A28" i="251"/>
  <c r="G27" i="251"/>
  <c r="D27" i="251"/>
  <c r="E26" i="251"/>
  <c r="F26" i="251"/>
  <c r="H26" i="251"/>
  <c r="I26" i="251"/>
  <c r="AA29" i="210"/>
  <c r="AB29" i="210"/>
  <c r="AC29" i="210"/>
  <c r="Z30" i="210"/>
  <c r="AD28" i="210"/>
  <c r="F13" i="178"/>
  <c r="M30" i="164"/>
  <c r="O30" i="164" s="1"/>
  <c r="N30" i="164"/>
  <c r="L31" i="164"/>
  <c r="AB29" i="156"/>
  <c r="AA29" i="156"/>
  <c r="AC29" i="156"/>
  <c r="Z30" i="156"/>
  <c r="AD28" i="156"/>
  <c r="N13" i="150"/>
  <c r="K13" i="150"/>
  <c r="F14" i="150" s="1"/>
  <c r="G14" i="150"/>
  <c r="H14" i="150" s="1"/>
  <c r="I14" i="150"/>
  <c r="H34" i="275" l="1"/>
  <c r="G35" i="275"/>
  <c r="E35" i="275"/>
  <c r="C35" i="275"/>
  <c r="B35" i="275"/>
  <c r="D35" i="275"/>
  <c r="F35" i="275"/>
  <c r="A36" i="275"/>
  <c r="B28" i="273"/>
  <c r="C28" i="273"/>
  <c r="D28" i="273"/>
  <c r="E28" i="273"/>
  <c r="A29" i="273"/>
  <c r="F27" i="273"/>
  <c r="F27" i="272"/>
  <c r="B28" i="272"/>
  <c r="C28" i="272"/>
  <c r="D28" i="272"/>
  <c r="E28" i="272"/>
  <c r="A29" i="272"/>
  <c r="F27" i="266"/>
  <c r="H27" i="266" s="1"/>
  <c r="J26" i="252"/>
  <c r="D28" i="266"/>
  <c r="C28" i="266"/>
  <c r="B28" i="266"/>
  <c r="E28" i="266"/>
  <c r="G28" i="266"/>
  <c r="A29" i="266"/>
  <c r="C28" i="265"/>
  <c r="D28" i="265"/>
  <c r="E28" i="265"/>
  <c r="B28" i="265"/>
  <c r="F28" i="265" s="1"/>
  <c r="H28" i="265" s="1"/>
  <c r="G28" i="265"/>
  <c r="A29" i="265"/>
  <c r="D28" i="264"/>
  <c r="E28" i="264"/>
  <c r="B28" i="264"/>
  <c r="C28" i="264"/>
  <c r="G28" i="264"/>
  <c r="A29" i="264"/>
  <c r="AA30" i="260"/>
  <c r="AD30" i="260" s="1"/>
  <c r="AB30" i="260"/>
  <c r="AC30" i="260"/>
  <c r="Z31" i="260"/>
  <c r="AD29" i="260"/>
  <c r="D38" i="253"/>
  <c r="B38" i="253"/>
  <c r="C38" i="253"/>
  <c r="E38" i="253"/>
  <c r="A39" i="253"/>
  <c r="F37" i="253"/>
  <c r="B28" i="252"/>
  <c r="C28" i="252"/>
  <c r="D28" i="252"/>
  <c r="G28" i="252"/>
  <c r="A29" i="252"/>
  <c r="E27" i="252"/>
  <c r="F27" i="252"/>
  <c r="H27" i="252"/>
  <c r="I27" i="252"/>
  <c r="B28" i="251"/>
  <c r="C28" i="251"/>
  <c r="D28" i="251"/>
  <c r="A29" i="251"/>
  <c r="G28" i="251"/>
  <c r="J26" i="251"/>
  <c r="H27" i="251"/>
  <c r="I27" i="251"/>
  <c r="E27" i="251"/>
  <c r="F27" i="251"/>
  <c r="J27" i="251" s="1"/>
  <c r="AA30" i="210"/>
  <c r="AB30" i="210"/>
  <c r="AC30" i="210"/>
  <c r="Z31" i="210"/>
  <c r="AD29" i="210"/>
  <c r="G13" i="178"/>
  <c r="I13" i="178"/>
  <c r="M31" i="164"/>
  <c r="O31" i="164" s="1"/>
  <c r="N31" i="164"/>
  <c r="L32" i="164"/>
  <c r="AB30" i="156"/>
  <c r="AA30" i="156"/>
  <c r="Z31" i="156"/>
  <c r="AC30" i="156"/>
  <c r="AD29" i="156"/>
  <c r="J14" i="150"/>
  <c r="F36" i="275" l="1"/>
  <c r="B36" i="275"/>
  <c r="C36" i="275"/>
  <c r="D36" i="275"/>
  <c r="E36" i="275"/>
  <c r="G36" i="275"/>
  <c r="A37" i="275"/>
  <c r="H35" i="275"/>
  <c r="B29" i="273"/>
  <c r="C29" i="273"/>
  <c r="D29" i="273"/>
  <c r="E29" i="273"/>
  <c r="A30" i="273"/>
  <c r="F28" i="273"/>
  <c r="B29" i="272"/>
  <c r="C29" i="272"/>
  <c r="D29" i="272"/>
  <c r="E29" i="272"/>
  <c r="A30" i="272"/>
  <c r="F28" i="272"/>
  <c r="F28" i="266"/>
  <c r="H28" i="266" s="1"/>
  <c r="J27" i="252"/>
  <c r="B29" i="266"/>
  <c r="E29" i="266"/>
  <c r="C29" i="266"/>
  <c r="D29" i="266"/>
  <c r="G29" i="266"/>
  <c r="A30" i="266"/>
  <c r="D29" i="265"/>
  <c r="C29" i="265"/>
  <c r="E29" i="265"/>
  <c r="B29" i="265"/>
  <c r="F29" i="265" s="1"/>
  <c r="H29" i="265" s="1"/>
  <c r="G29" i="265"/>
  <c r="A30" i="265"/>
  <c r="E29" i="264"/>
  <c r="D29" i="264"/>
  <c r="B29" i="264"/>
  <c r="C29" i="264"/>
  <c r="G29" i="264"/>
  <c r="A30" i="264"/>
  <c r="F28" i="264"/>
  <c r="H28" i="264" s="1"/>
  <c r="AB31" i="260"/>
  <c r="AA31" i="260"/>
  <c r="AD31" i="260" s="1"/>
  <c r="AC31" i="260"/>
  <c r="Z32" i="260"/>
  <c r="E39" i="253"/>
  <c r="D39" i="253"/>
  <c r="B39" i="253"/>
  <c r="C39" i="253"/>
  <c r="A40" i="253"/>
  <c r="F38" i="253"/>
  <c r="B29" i="252"/>
  <c r="C29" i="252"/>
  <c r="D29" i="252"/>
  <c r="G29" i="252"/>
  <c r="A30" i="252"/>
  <c r="E28" i="252"/>
  <c r="F28" i="252"/>
  <c r="J28" i="252" s="1"/>
  <c r="H28" i="252"/>
  <c r="I28" i="252"/>
  <c r="B29" i="251"/>
  <c r="C29" i="251"/>
  <c r="D29" i="251"/>
  <c r="G29" i="251"/>
  <c r="A30" i="251"/>
  <c r="E28" i="251"/>
  <c r="F28" i="251"/>
  <c r="J28" i="251" s="1"/>
  <c r="H28" i="251"/>
  <c r="I28" i="251"/>
  <c r="AA31" i="210"/>
  <c r="AB31" i="210"/>
  <c r="Z32" i="210"/>
  <c r="AC31" i="210"/>
  <c r="AD30" i="210"/>
  <c r="H13" i="178"/>
  <c r="J13" i="178"/>
  <c r="M32" i="164"/>
  <c r="O32" i="164" s="1"/>
  <c r="N32" i="164"/>
  <c r="L33" i="164"/>
  <c r="AA31" i="156"/>
  <c r="AB31" i="156"/>
  <c r="Z32" i="156"/>
  <c r="AC31" i="156"/>
  <c r="AD30" i="156"/>
  <c r="N14" i="150"/>
  <c r="K14" i="150"/>
  <c r="F15" i="150" s="1"/>
  <c r="I15" i="150"/>
  <c r="G15" i="150"/>
  <c r="H15" i="150" s="1"/>
  <c r="E37" i="275" l="1"/>
  <c r="C37" i="275"/>
  <c r="B37" i="275"/>
  <c r="D37" i="275"/>
  <c r="F37" i="275"/>
  <c r="G37" i="275"/>
  <c r="A38" i="275"/>
  <c r="H36" i="275"/>
  <c r="B30" i="273"/>
  <c r="C30" i="273"/>
  <c r="D30" i="273"/>
  <c r="E30" i="273"/>
  <c r="A31" i="273"/>
  <c r="F29" i="273"/>
  <c r="B30" i="272"/>
  <c r="C30" i="272"/>
  <c r="D30" i="272"/>
  <c r="E30" i="272"/>
  <c r="A31" i="272"/>
  <c r="F29" i="272"/>
  <c r="E30" i="266"/>
  <c r="B30" i="266"/>
  <c r="D30" i="266"/>
  <c r="C30" i="266"/>
  <c r="G30" i="266"/>
  <c r="A31" i="266"/>
  <c r="F29" i="266"/>
  <c r="H29" i="266" s="1"/>
  <c r="C30" i="265"/>
  <c r="D30" i="265"/>
  <c r="E30" i="265"/>
  <c r="B30" i="265"/>
  <c r="F30" i="265" s="1"/>
  <c r="H30" i="265" s="1"/>
  <c r="G30" i="265"/>
  <c r="A31" i="265"/>
  <c r="B30" i="264"/>
  <c r="D30" i="264"/>
  <c r="E30" i="264"/>
  <c r="C30" i="264"/>
  <c r="G30" i="264"/>
  <c r="A31" i="264"/>
  <c r="F29" i="264"/>
  <c r="H29" i="264" s="1"/>
  <c r="AA32" i="260"/>
  <c r="AB32" i="260"/>
  <c r="Z33" i="260"/>
  <c r="AC32" i="260"/>
  <c r="C40" i="253"/>
  <c r="D40" i="253"/>
  <c r="B40" i="253"/>
  <c r="F40" i="253" s="1"/>
  <c r="E40" i="253"/>
  <c r="A41" i="253"/>
  <c r="F39" i="253"/>
  <c r="B30" i="252"/>
  <c r="C30" i="252"/>
  <c r="D30" i="252"/>
  <c r="G30" i="252"/>
  <c r="A31" i="252"/>
  <c r="E29" i="252"/>
  <c r="F29" i="252"/>
  <c r="H29" i="252"/>
  <c r="I29" i="252"/>
  <c r="C30" i="251"/>
  <c r="B30" i="251"/>
  <c r="D30" i="251"/>
  <c r="G30" i="251"/>
  <c r="A31" i="251"/>
  <c r="E29" i="251"/>
  <c r="F29" i="251"/>
  <c r="H29" i="251"/>
  <c r="I29" i="251"/>
  <c r="AA32" i="210"/>
  <c r="AB32" i="210"/>
  <c r="AC32" i="210"/>
  <c r="Z33" i="210"/>
  <c r="AD31" i="210"/>
  <c r="F14" i="178"/>
  <c r="M33" i="164"/>
  <c r="O33" i="164" s="1"/>
  <c r="N33" i="164"/>
  <c r="L34" i="164"/>
  <c r="AA32" i="156"/>
  <c r="AB32" i="156"/>
  <c r="Z33" i="156"/>
  <c r="AC32" i="156"/>
  <c r="AD31" i="156"/>
  <c r="J15" i="150"/>
  <c r="B38" i="275" l="1"/>
  <c r="G38" i="275"/>
  <c r="F38" i="275"/>
  <c r="C38" i="275"/>
  <c r="D38" i="275"/>
  <c r="E38" i="275"/>
  <c r="A39" i="275"/>
  <c r="H37" i="275"/>
  <c r="B31" i="273"/>
  <c r="C31" i="273"/>
  <c r="D31" i="273"/>
  <c r="E31" i="273"/>
  <c r="A32" i="273"/>
  <c r="F30" i="273"/>
  <c r="B31" i="272"/>
  <c r="C31" i="272"/>
  <c r="D31" i="272"/>
  <c r="E31" i="272"/>
  <c r="A32" i="272"/>
  <c r="F30" i="272"/>
  <c r="J29" i="252"/>
  <c r="C31" i="266"/>
  <c r="B31" i="266"/>
  <c r="D31" i="266"/>
  <c r="E31" i="266"/>
  <c r="A32" i="266"/>
  <c r="G31" i="266"/>
  <c r="F30" i="266"/>
  <c r="H30" i="266" s="1"/>
  <c r="D31" i="265"/>
  <c r="E31" i="265"/>
  <c r="B31" i="265"/>
  <c r="C31" i="265"/>
  <c r="G31" i="265"/>
  <c r="A32" i="265"/>
  <c r="D31" i="264"/>
  <c r="E31" i="264"/>
  <c r="B31" i="264"/>
  <c r="C31" i="264"/>
  <c r="G31" i="264"/>
  <c r="A32" i="264"/>
  <c r="F30" i="264"/>
  <c r="H30" i="264" s="1"/>
  <c r="AB33" i="260"/>
  <c r="AA33" i="260"/>
  <c r="AD33" i="260" s="1"/>
  <c r="Z34" i="260"/>
  <c r="AC33" i="260"/>
  <c r="AD32" i="260"/>
  <c r="D41" i="253"/>
  <c r="E41" i="253"/>
  <c r="B41" i="253"/>
  <c r="C41" i="253"/>
  <c r="A42" i="253"/>
  <c r="B31" i="252"/>
  <c r="C31" i="252"/>
  <c r="D31" i="252"/>
  <c r="G31" i="252"/>
  <c r="A32" i="252"/>
  <c r="E30" i="252"/>
  <c r="F30" i="252" s="1"/>
  <c r="H30" i="252"/>
  <c r="I30" i="252"/>
  <c r="B31" i="251"/>
  <c r="C31" i="251"/>
  <c r="D31" i="251"/>
  <c r="G31" i="251"/>
  <c r="A32" i="251"/>
  <c r="J29" i="251"/>
  <c r="E30" i="251"/>
  <c r="F30" i="251"/>
  <c r="J30" i="251" s="1"/>
  <c r="H30" i="251"/>
  <c r="I30" i="251"/>
  <c r="AA33" i="210"/>
  <c r="AB33" i="210"/>
  <c r="AC33" i="210"/>
  <c r="Z34" i="210"/>
  <c r="AD32" i="210"/>
  <c r="G14" i="178"/>
  <c r="I14" i="178"/>
  <c r="N34" i="164"/>
  <c r="M34" i="164"/>
  <c r="O34" i="164" s="1"/>
  <c r="L35" i="164"/>
  <c r="AB33" i="156"/>
  <c r="AA33" i="156"/>
  <c r="Z34" i="156"/>
  <c r="AC33" i="156"/>
  <c r="AD32" i="156"/>
  <c r="N15" i="150"/>
  <c r="K15" i="150"/>
  <c r="F16" i="150" s="1"/>
  <c r="G16" i="150"/>
  <c r="H16" i="150" s="1"/>
  <c r="I16" i="150"/>
  <c r="F39" i="275" l="1"/>
  <c r="B39" i="275"/>
  <c r="C39" i="275"/>
  <c r="D39" i="275"/>
  <c r="E39" i="275"/>
  <c r="G39" i="275"/>
  <c r="A40" i="275"/>
  <c r="H38" i="275"/>
  <c r="B32" i="273"/>
  <c r="C32" i="273"/>
  <c r="D32" i="273"/>
  <c r="E32" i="273"/>
  <c r="A33" i="273"/>
  <c r="F31" i="273"/>
  <c r="B32" i="272"/>
  <c r="C32" i="272"/>
  <c r="D32" i="272"/>
  <c r="E32" i="272"/>
  <c r="A33" i="272"/>
  <c r="F31" i="272"/>
  <c r="J30" i="252"/>
  <c r="C32" i="266"/>
  <c r="E32" i="266"/>
  <c r="B32" i="266"/>
  <c r="D32" i="266"/>
  <c r="A33" i="266"/>
  <c r="G32" i="266"/>
  <c r="F31" i="266"/>
  <c r="H31" i="266" s="1"/>
  <c r="B32" i="265"/>
  <c r="C32" i="265"/>
  <c r="D32" i="265"/>
  <c r="E32" i="265"/>
  <c r="G32" i="265"/>
  <c r="A33" i="265"/>
  <c r="F31" i="265"/>
  <c r="H31" i="265" s="1"/>
  <c r="E32" i="264"/>
  <c r="C32" i="264"/>
  <c r="D32" i="264"/>
  <c r="B32" i="264"/>
  <c r="F32" i="264" s="1"/>
  <c r="H32" i="264" s="1"/>
  <c r="G32" i="264"/>
  <c r="A33" i="264"/>
  <c r="F31" i="264"/>
  <c r="H31" i="264" s="1"/>
  <c r="AA34" i="260"/>
  <c r="AB34" i="260"/>
  <c r="AC34" i="260"/>
  <c r="Z35" i="260"/>
  <c r="D42" i="253"/>
  <c r="E42" i="253"/>
  <c r="B42" i="253"/>
  <c r="C42" i="253"/>
  <c r="A43" i="253"/>
  <c r="F41" i="253"/>
  <c r="B32" i="252"/>
  <c r="C32" i="252"/>
  <c r="D32" i="252"/>
  <c r="G32" i="252"/>
  <c r="A33" i="252"/>
  <c r="E31" i="252"/>
  <c r="F31" i="252"/>
  <c r="H31" i="252"/>
  <c r="I31" i="252"/>
  <c r="B32" i="251"/>
  <c r="C32" i="251"/>
  <c r="D32" i="251"/>
  <c r="G32" i="251"/>
  <c r="A33" i="251"/>
  <c r="E31" i="251"/>
  <c r="F31" i="251"/>
  <c r="J31" i="251" s="1"/>
  <c r="H31" i="251"/>
  <c r="I31" i="251"/>
  <c r="AB34" i="210"/>
  <c r="AA34" i="210"/>
  <c r="AD34" i="210" s="1"/>
  <c r="AC34" i="210"/>
  <c r="Z35" i="210"/>
  <c r="AD33" i="210"/>
  <c r="H14" i="178"/>
  <c r="J14" i="178"/>
  <c r="N35" i="164"/>
  <c r="M35" i="164"/>
  <c r="O35" i="164" s="1"/>
  <c r="L36" i="164"/>
  <c r="AA34" i="156"/>
  <c r="AB34" i="156"/>
  <c r="Z35" i="156"/>
  <c r="AC34" i="156"/>
  <c r="AD33" i="156"/>
  <c r="J16" i="150"/>
  <c r="B40" i="275" l="1"/>
  <c r="G40" i="275"/>
  <c r="F40" i="275"/>
  <c r="C40" i="275"/>
  <c r="D40" i="275"/>
  <c r="E40" i="275"/>
  <c r="A41" i="275"/>
  <c r="H39" i="275"/>
  <c r="B33" i="273"/>
  <c r="C33" i="273"/>
  <c r="D33" i="273"/>
  <c r="E33" i="273"/>
  <c r="A34" i="273"/>
  <c r="F32" i="273"/>
  <c r="B33" i="272"/>
  <c r="C33" i="272"/>
  <c r="D33" i="272"/>
  <c r="E33" i="272"/>
  <c r="A34" i="272"/>
  <c r="F32" i="272"/>
  <c r="F32" i="266"/>
  <c r="H32" i="266" s="1"/>
  <c r="J31" i="252"/>
  <c r="C33" i="266"/>
  <c r="D33" i="266"/>
  <c r="E33" i="266"/>
  <c r="B33" i="266"/>
  <c r="G33" i="266"/>
  <c r="A34" i="266"/>
  <c r="B33" i="265"/>
  <c r="D33" i="265"/>
  <c r="E33" i="265"/>
  <c r="C33" i="265"/>
  <c r="G33" i="265"/>
  <c r="A34" i="265"/>
  <c r="F32" i="265"/>
  <c r="H32" i="265" s="1"/>
  <c r="C33" i="264"/>
  <c r="E33" i="264"/>
  <c r="D33" i="264"/>
  <c r="B33" i="264"/>
  <c r="F33" i="264" s="1"/>
  <c r="H33" i="264" s="1"/>
  <c r="G33" i="264"/>
  <c r="A34" i="264"/>
  <c r="AA35" i="260"/>
  <c r="AD35" i="260" s="1"/>
  <c r="AB35" i="260"/>
  <c r="Z36" i="260"/>
  <c r="AC35" i="260"/>
  <c r="AD34" i="260"/>
  <c r="C43" i="253"/>
  <c r="D43" i="253"/>
  <c r="E43" i="253"/>
  <c r="B43" i="253"/>
  <c r="F43" i="253" s="1"/>
  <c r="A44" i="253"/>
  <c r="F42" i="253"/>
  <c r="B33" i="252"/>
  <c r="C33" i="252"/>
  <c r="D33" i="252"/>
  <c r="G33" i="252"/>
  <c r="A34" i="252"/>
  <c r="E32" i="252"/>
  <c r="F32" i="252"/>
  <c r="H32" i="252"/>
  <c r="I32" i="252"/>
  <c r="B33" i="251"/>
  <c r="C33" i="251"/>
  <c r="D33" i="251"/>
  <c r="G33" i="251"/>
  <c r="A34" i="251"/>
  <c r="E32" i="251"/>
  <c r="F32" i="251"/>
  <c r="J32" i="251" s="1"/>
  <c r="H32" i="251"/>
  <c r="I32" i="251"/>
  <c r="AB35" i="210"/>
  <c r="AA35" i="210"/>
  <c r="AD35" i="210" s="1"/>
  <c r="AC35" i="210"/>
  <c r="Z36" i="210"/>
  <c r="H15" i="178"/>
  <c r="K14" i="178"/>
  <c r="K15" i="178" s="1"/>
  <c r="N36" i="164"/>
  <c r="L37" i="164"/>
  <c r="M36" i="164"/>
  <c r="O36" i="164" s="1"/>
  <c r="AB35" i="156"/>
  <c r="AA35" i="156"/>
  <c r="AC35" i="156"/>
  <c r="Z36" i="156"/>
  <c r="AD34" i="156"/>
  <c r="N16" i="150"/>
  <c r="K16" i="150"/>
  <c r="F17" i="150" s="1"/>
  <c r="I17" i="150"/>
  <c r="G17" i="150"/>
  <c r="H17" i="150" s="1"/>
  <c r="B41" i="275" l="1"/>
  <c r="A42" i="275"/>
  <c r="G41" i="275"/>
  <c r="F41" i="275"/>
  <c r="C41" i="275"/>
  <c r="D41" i="275"/>
  <c r="E41" i="275"/>
  <c r="H40" i="275"/>
  <c r="B34" i="273"/>
  <c r="C34" i="273"/>
  <c r="D34" i="273"/>
  <c r="E34" i="273"/>
  <c r="A35" i="273"/>
  <c r="F33" i="273"/>
  <c r="B34" i="272"/>
  <c r="C34" i="272"/>
  <c r="D34" i="272"/>
  <c r="E34" i="272"/>
  <c r="A35" i="272"/>
  <c r="F33" i="272"/>
  <c r="J32" i="252"/>
  <c r="AD35" i="156"/>
  <c r="C34" i="266"/>
  <c r="B34" i="266"/>
  <c r="E34" i="266"/>
  <c r="D34" i="266"/>
  <c r="G34" i="266"/>
  <c r="A35" i="266"/>
  <c r="F33" i="266"/>
  <c r="H33" i="266" s="1"/>
  <c r="C34" i="265"/>
  <c r="D34" i="265"/>
  <c r="E34" i="265"/>
  <c r="B34" i="265"/>
  <c r="F34" i="265" s="1"/>
  <c r="H34" i="265" s="1"/>
  <c r="A35" i="265"/>
  <c r="G34" i="265"/>
  <c r="F33" i="265"/>
  <c r="H33" i="265" s="1"/>
  <c r="C34" i="264"/>
  <c r="D34" i="264"/>
  <c r="E34" i="264"/>
  <c r="B34" i="264"/>
  <c r="F34" i="264" s="1"/>
  <c r="H34" i="264" s="1"/>
  <c r="A35" i="264"/>
  <c r="G34" i="264"/>
  <c r="AB36" i="260"/>
  <c r="AA36" i="260"/>
  <c r="Z37" i="260"/>
  <c r="AC36" i="260"/>
  <c r="B44" i="253"/>
  <c r="C44" i="253"/>
  <c r="D44" i="253"/>
  <c r="E44" i="253"/>
  <c r="A45" i="253"/>
  <c r="B34" i="252"/>
  <c r="C34" i="252"/>
  <c r="D34" i="252"/>
  <c r="G34" i="252"/>
  <c r="A35" i="252"/>
  <c r="E33" i="252"/>
  <c r="F33" i="252"/>
  <c r="H33" i="252"/>
  <c r="I33" i="252"/>
  <c r="B34" i="251"/>
  <c r="C34" i="251"/>
  <c r="D34" i="251"/>
  <c r="G34" i="251"/>
  <c r="A35" i="251"/>
  <c r="E33" i="251"/>
  <c r="F33" i="251"/>
  <c r="J33" i="251" s="1"/>
  <c r="H33" i="251"/>
  <c r="I33" i="251"/>
  <c r="AA36" i="210"/>
  <c r="AB36" i="210"/>
  <c r="AC36" i="210"/>
  <c r="Z37" i="210"/>
  <c r="M37" i="164"/>
  <c r="O37" i="164" s="1"/>
  <c r="L38" i="164"/>
  <c r="N37" i="164"/>
  <c r="AB36" i="156"/>
  <c r="AA36" i="156"/>
  <c r="AC36" i="156"/>
  <c r="Z37" i="156"/>
  <c r="J17" i="150"/>
  <c r="A43" i="275" l="1"/>
  <c r="F42" i="275"/>
  <c r="C42" i="275"/>
  <c r="E42" i="275"/>
  <c r="B42" i="275"/>
  <c r="G42" i="275"/>
  <c r="D42" i="275"/>
  <c r="H41" i="275"/>
  <c r="B35" i="273"/>
  <c r="C35" i="273"/>
  <c r="D35" i="273"/>
  <c r="E35" i="273"/>
  <c r="A36" i="273"/>
  <c r="F34" i="273"/>
  <c r="B35" i="272"/>
  <c r="C35" i="272"/>
  <c r="D35" i="272"/>
  <c r="E35" i="272"/>
  <c r="A36" i="272"/>
  <c r="F34" i="272"/>
  <c r="J33" i="252"/>
  <c r="AD36" i="156"/>
  <c r="D35" i="266"/>
  <c r="E35" i="266"/>
  <c r="B35" i="266"/>
  <c r="C35" i="266"/>
  <c r="A36" i="266"/>
  <c r="G35" i="266"/>
  <c r="F34" i="266"/>
  <c r="H34" i="266" s="1"/>
  <c r="B35" i="265"/>
  <c r="C35" i="265"/>
  <c r="D35" i="265"/>
  <c r="E35" i="265"/>
  <c r="A36" i="265"/>
  <c r="G35" i="265"/>
  <c r="B35" i="264"/>
  <c r="F35" i="264" s="1"/>
  <c r="H35" i="264" s="1"/>
  <c r="D35" i="264"/>
  <c r="E35" i="264"/>
  <c r="C35" i="264"/>
  <c r="G35" i="264"/>
  <c r="A36" i="264"/>
  <c r="AB37" i="260"/>
  <c r="AA37" i="260"/>
  <c r="AD37" i="260" s="1"/>
  <c r="AC37" i="260"/>
  <c r="Z38" i="260"/>
  <c r="AD36" i="260"/>
  <c r="D45" i="253"/>
  <c r="E45" i="253"/>
  <c r="B45" i="253"/>
  <c r="F45" i="253" s="1"/>
  <c r="C45" i="253"/>
  <c r="A46" i="253"/>
  <c r="F44" i="253"/>
  <c r="B35" i="252"/>
  <c r="C35" i="252"/>
  <c r="D35" i="252"/>
  <c r="G35" i="252"/>
  <c r="A36" i="252"/>
  <c r="E34" i="252"/>
  <c r="F34" i="252"/>
  <c r="H34" i="252"/>
  <c r="I34" i="252"/>
  <c r="B35" i="251"/>
  <c r="C35" i="251"/>
  <c r="D35" i="251"/>
  <c r="G35" i="251"/>
  <c r="A36" i="251"/>
  <c r="E34" i="251"/>
  <c r="F34" i="251"/>
  <c r="J34" i="251" s="1"/>
  <c r="H34" i="251"/>
  <c r="I34" i="251"/>
  <c r="AB37" i="210"/>
  <c r="AA37" i="210"/>
  <c r="AC37" i="210"/>
  <c r="Z38" i="210"/>
  <c r="AD36" i="210"/>
  <c r="M38" i="164"/>
  <c r="O38" i="164" s="1"/>
  <c r="L39" i="164"/>
  <c r="N38" i="164"/>
  <c r="AA37" i="156"/>
  <c r="AB37" i="156"/>
  <c r="Z38" i="156"/>
  <c r="AC37" i="156"/>
  <c r="N17" i="150"/>
  <c r="K17" i="150"/>
  <c r="F18" i="150" s="1"/>
  <c r="G43" i="275" l="1"/>
  <c r="F43" i="275"/>
  <c r="C43" i="275"/>
  <c r="B43" i="275"/>
  <c r="D43" i="275"/>
  <c r="A44" i="275"/>
  <c r="E43" i="275"/>
  <c r="H42" i="275"/>
  <c r="B36" i="273"/>
  <c r="C36" i="273"/>
  <c r="D36" i="273"/>
  <c r="E36" i="273"/>
  <c r="A37" i="273"/>
  <c r="F35" i="273"/>
  <c r="B36" i="272"/>
  <c r="C36" i="272"/>
  <c r="D36" i="272"/>
  <c r="E36" i="272"/>
  <c r="A37" i="272"/>
  <c r="F35" i="272"/>
  <c r="J34" i="252"/>
  <c r="AD37" i="156"/>
  <c r="D36" i="266"/>
  <c r="C36" i="266"/>
  <c r="B36" i="266"/>
  <c r="E36" i="266"/>
  <c r="A37" i="266"/>
  <c r="G36" i="266"/>
  <c r="F35" i="266"/>
  <c r="H35" i="266" s="1"/>
  <c r="B36" i="265"/>
  <c r="D36" i="265"/>
  <c r="E36" i="265"/>
  <c r="C36" i="265"/>
  <c r="G36" i="265"/>
  <c r="A37" i="265"/>
  <c r="F35" i="265"/>
  <c r="H35" i="265" s="1"/>
  <c r="E36" i="264"/>
  <c r="C36" i="264"/>
  <c r="D36" i="264"/>
  <c r="B36" i="264"/>
  <c r="A37" i="264"/>
  <c r="G36" i="264"/>
  <c r="AA38" i="260"/>
  <c r="AB38" i="260"/>
  <c r="Z39" i="260"/>
  <c r="AC38" i="260"/>
  <c r="B46" i="253"/>
  <c r="D46" i="253"/>
  <c r="E46" i="253"/>
  <c r="C46" i="253"/>
  <c r="A47" i="253"/>
  <c r="B36" i="252"/>
  <c r="C36" i="252"/>
  <c r="D36" i="252"/>
  <c r="G36" i="252"/>
  <c r="A37" i="252"/>
  <c r="E35" i="252"/>
  <c r="F35" i="252"/>
  <c r="H35" i="252"/>
  <c r="I35" i="252"/>
  <c r="B36" i="251"/>
  <c r="C36" i="251"/>
  <c r="D36" i="251"/>
  <c r="G36" i="251"/>
  <c r="A37" i="251"/>
  <c r="E35" i="251"/>
  <c r="F35" i="251"/>
  <c r="J35" i="251" s="1"/>
  <c r="H35" i="251"/>
  <c r="I35" i="251"/>
  <c r="AA38" i="210"/>
  <c r="AB38" i="210"/>
  <c r="AC38" i="210"/>
  <c r="Z39" i="210"/>
  <c r="AD37" i="210"/>
  <c r="L40" i="164"/>
  <c r="N39" i="164"/>
  <c r="M39" i="164"/>
  <c r="O39" i="164" s="1"/>
  <c r="AA38" i="156"/>
  <c r="AB38" i="156"/>
  <c r="AC38" i="156"/>
  <c r="Z39" i="156"/>
  <c r="H43" i="275" l="1"/>
  <c r="B44" i="275"/>
  <c r="D44" i="275"/>
  <c r="G44" i="275"/>
  <c r="A45" i="275"/>
  <c r="E44" i="275"/>
  <c r="C44" i="275"/>
  <c r="F44" i="275"/>
  <c r="B37" i="273"/>
  <c r="C37" i="273"/>
  <c r="D37" i="273"/>
  <c r="E37" i="273"/>
  <c r="A38" i="273"/>
  <c r="F36" i="273"/>
  <c r="F36" i="272"/>
  <c r="B37" i="272"/>
  <c r="C37" i="272"/>
  <c r="D37" i="272"/>
  <c r="E37" i="272"/>
  <c r="A38" i="272"/>
  <c r="F36" i="266"/>
  <c r="H36" i="266" s="1"/>
  <c r="J35" i="252"/>
  <c r="D37" i="266"/>
  <c r="C37" i="266"/>
  <c r="E37" i="266"/>
  <c r="B37" i="266"/>
  <c r="A38" i="266"/>
  <c r="G37" i="266"/>
  <c r="D37" i="265"/>
  <c r="E37" i="265"/>
  <c r="B37" i="265"/>
  <c r="C37" i="265"/>
  <c r="G37" i="265"/>
  <c r="A38" i="265"/>
  <c r="F36" i="265"/>
  <c r="H36" i="265" s="1"/>
  <c r="D37" i="264"/>
  <c r="B37" i="264"/>
  <c r="E37" i="264"/>
  <c r="C37" i="264"/>
  <c r="A38" i="264"/>
  <c r="G37" i="264"/>
  <c r="F36" i="264"/>
  <c r="H36" i="264" s="1"/>
  <c r="AB39" i="260"/>
  <c r="AA39" i="260"/>
  <c r="Z40" i="260"/>
  <c r="AC39" i="260"/>
  <c r="AD38" i="260"/>
  <c r="C47" i="253"/>
  <c r="D47" i="253"/>
  <c r="B47" i="253"/>
  <c r="E47" i="253"/>
  <c r="A48" i="253"/>
  <c r="F46" i="253"/>
  <c r="B37" i="252"/>
  <c r="C37" i="252"/>
  <c r="D37" i="252"/>
  <c r="G37" i="252"/>
  <c r="A38" i="252"/>
  <c r="E36" i="252"/>
  <c r="F36" i="252"/>
  <c r="H36" i="252"/>
  <c r="I36" i="252"/>
  <c r="B37" i="251"/>
  <c r="C37" i="251"/>
  <c r="D37" i="251"/>
  <c r="G37" i="251"/>
  <c r="A38" i="251"/>
  <c r="E36" i="251"/>
  <c r="F36" i="251"/>
  <c r="J36" i="251" s="1"/>
  <c r="H36" i="251"/>
  <c r="I36" i="251"/>
  <c r="AB39" i="210"/>
  <c r="AA39" i="210"/>
  <c r="AD39" i="210" s="1"/>
  <c r="AC39" i="210"/>
  <c r="Z40" i="210"/>
  <c r="AD38" i="210"/>
  <c r="M40" i="164"/>
  <c r="O40" i="164" s="1"/>
  <c r="N40" i="164"/>
  <c r="L41" i="164"/>
  <c r="AB39" i="156"/>
  <c r="AA39" i="156"/>
  <c r="AC39" i="156"/>
  <c r="Z40" i="156"/>
  <c r="AD38" i="156"/>
  <c r="A46" i="275" l="1"/>
  <c r="D45" i="275"/>
  <c r="B45" i="275"/>
  <c r="F45" i="275"/>
  <c r="E45" i="275"/>
  <c r="G45" i="275"/>
  <c r="C45" i="275"/>
  <c r="H44" i="275"/>
  <c r="B38" i="273"/>
  <c r="C38" i="273"/>
  <c r="D38" i="273"/>
  <c r="E38" i="273"/>
  <c r="A39" i="273"/>
  <c r="F37" i="273"/>
  <c r="B38" i="272"/>
  <c r="C38" i="272"/>
  <c r="D38" i="272"/>
  <c r="E38" i="272"/>
  <c r="A39" i="272"/>
  <c r="F37" i="272"/>
  <c r="F37" i="266"/>
  <c r="H37" i="266" s="1"/>
  <c r="AD39" i="156"/>
  <c r="B38" i="266"/>
  <c r="C38" i="266"/>
  <c r="E38" i="266"/>
  <c r="D38" i="266"/>
  <c r="G38" i="266"/>
  <c r="A39" i="266"/>
  <c r="E38" i="265"/>
  <c r="B38" i="265"/>
  <c r="C38" i="265"/>
  <c r="D38" i="265"/>
  <c r="A39" i="265"/>
  <c r="G38" i="265"/>
  <c r="F37" i="265"/>
  <c r="H37" i="265" s="1"/>
  <c r="D38" i="264"/>
  <c r="E38" i="264"/>
  <c r="B38" i="264"/>
  <c r="C38" i="264"/>
  <c r="A39" i="264"/>
  <c r="G38" i="264"/>
  <c r="F37" i="264"/>
  <c r="H37" i="264" s="1"/>
  <c r="AA40" i="260"/>
  <c r="AB40" i="260"/>
  <c r="Z41" i="260"/>
  <c r="AC40" i="260"/>
  <c r="AD39" i="260"/>
  <c r="D48" i="253"/>
  <c r="C48" i="253"/>
  <c r="E48" i="253"/>
  <c r="B48" i="253"/>
  <c r="F48" i="253" s="1"/>
  <c r="A49" i="253"/>
  <c r="F47" i="253"/>
  <c r="C38" i="252"/>
  <c r="B38" i="252"/>
  <c r="D38" i="252"/>
  <c r="G38" i="252"/>
  <c r="A39" i="252"/>
  <c r="J36" i="252"/>
  <c r="E37" i="252"/>
  <c r="F37" i="252"/>
  <c r="H37" i="252"/>
  <c r="I37" i="252"/>
  <c r="B38" i="251"/>
  <c r="C38" i="251"/>
  <c r="D38" i="251"/>
  <c r="G38" i="251"/>
  <c r="A39" i="251"/>
  <c r="E37" i="251"/>
  <c r="F37" i="251"/>
  <c r="J37" i="251" s="1"/>
  <c r="H37" i="251"/>
  <c r="I37" i="251"/>
  <c r="AA40" i="210"/>
  <c r="AB40" i="210"/>
  <c r="AC40" i="210"/>
  <c r="Z41" i="210"/>
  <c r="M41" i="164"/>
  <c r="O41" i="164" s="1"/>
  <c r="N41" i="164"/>
  <c r="L42" i="164"/>
  <c r="AB40" i="156"/>
  <c r="AA40" i="156"/>
  <c r="AC40" i="156"/>
  <c r="Z41" i="156"/>
  <c r="G46" i="275" l="1"/>
  <c r="A47" i="275"/>
  <c r="E46" i="275"/>
  <c r="F46" i="275"/>
  <c r="B46" i="275"/>
  <c r="D46" i="275"/>
  <c r="C46" i="275"/>
  <c r="H45" i="275"/>
  <c r="E39" i="273"/>
  <c r="B39" i="273"/>
  <c r="C39" i="273"/>
  <c r="D39" i="273"/>
  <c r="A40" i="273"/>
  <c r="F38" i="273"/>
  <c r="B39" i="272"/>
  <c r="C39" i="272"/>
  <c r="D39" i="272"/>
  <c r="E39" i="272"/>
  <c r="A40" i="272"/>
  <c r="F38" i="272"/>
  <c r="J37" i="252"/>
  <c r="AD40" i="156"/>
  <c r="D39" i="266"/>
  <c r="E39" i="266"/>
  <c r="C39" i="266"/>
  <c r="B39" i="266"/>
  <c r="A40" i="266"/>
  <c r="G39" i="266"/>
  <c r="F38" i="266"/>
  <c r="H38" i="266" s="1"/>
  <c r="D39" i="265"/>
  <c r="E39" i="265"/>
  <c r="B39" i="265"/>
  <c r="C39" i="265"/>
  <c r="A40" i="265"/>
  <c r="G39" i="265"/>
  <c r="F38" i="265"/>
  <c r="H38" i="265" s="1"/>
  <c r="D39" i="264"/>
  <c r="E39" i="264"/>
  <c r="C39" i="264"/>
  <c r="B39" i="264"/>
  <c r="F39" i="264" s="1"/>
  <c r="A40" i="264"/>
  <c r="G39" i="264"/>
  <c r="F38" i="264"/>
  <c r="H38" i="264" s="1"/>
  <c r="AA41" i="260"/>
  <c r="AB41" i="260"/>
  <c r="AC41" i="260"/>
  <c r="Z42" i="260"/>
  <c r="AD40" i="260"/>
  <c r="B49" i="253"/>
  <c r="C49" i="253"/>
  <c r="D49" i="253"/>
  <c r="E49" i="253"/>
  <c r="A50" i="253"/>
  <c r="B39" i="252"/>
  <c r="C39" i="252"/>
  <c r="D39" i="252"/>
  <c r="G39" i="252"/>
  <c r="A40" i="252"/>
  <c r="E38" i="252"/>
  <c r="F38" i="252"/>
  <c r="H38" i="252"/>
  <c r="I38" i="252"/>
  <c r="B39" i="251"/>
  <c r="C39" i="251"/>
  <c r="D39" i="251"/>
  <c r="G39" i="251"/>
  <c r="A40" i="251"/>
  <c r="E38" i="251"/>
  <c r="F38" i="251"/>
  <c r="J38" i="251" s="1"/>
  <c r="H38" i="251"/>
  <c r="I38" i="251"/>
  <c r="AA41" i="210"/>
  <c r="AD41" i="210" s="1"/>
  <c r="AB41" i="210"/>
  <c r="AC41" i="210"/>
  <c r="Z42" i="210"/>
  <c r="AD40" i="210"/>
  <c r="M42" i="164"/>
  <c r="O42" i="164" s="1"/>
  <c r="N42" i="164"/>
  <c r="L43" i="164"/>
  <c r="AA41" i="156"/>
  <c r="AB41" i="156"/>
  <c r="Z42" i="156"/>
  <c r="AC41" i="156"/>
  <c r="F47" i="275" l="1"/>
  <c r="C47" i="275"/>
  <c r="B47" i="275"/>
  <c r="E47" i="275"/>
  <c r="A48" i="275"/>
  <c r="D47" i="275"/>
  <c r="G47" i="275"/>
  <c r="H46" i="275"/>
  <c r="B40" i="273"/>
  <c r="D40" i="273"/>
  <c r="E40" i="273"/>
  <c r="C40" i="273"/>
  <c r="A41" i="273"/>
  <c r="F39" i="273"/>
  <c r="B40" i="272"/>
  <c r="C40" i="272"/>
  <c r="D40" i="272"/>
  <c r="E40" i="272"/>
  <c r="A41" i="272"/>
  <c r="F39" i="272"/>
  <c r="F39" i="266"/>
  <c r="H39" i="266" s="1"/>
  <c r="J38" i="252"/>
  <c r="AD41" i="156"/>
  <c r="D40" i="266"/>
  <c r="C40" i="266"/>
  <c r="E40" i="266"/>
  <c r="B40" i="266"/>
  <c r="F40" i="266" s="1"/>
  <c r="G40" i="266"/>
  <c r="A41" i="266"/>
  <c r="D40" i="265"/>
  <c r="C40" i="265"/>
  <c r="E40" i="265"/>
  <c r="B40" i="265"/>
  <c r="F40" i="265" s="1"/>
  <c r="H40" i="265" s="1"/>
  <c r="G40" i="265"/>
  <c r="A41" i="265"/>
  <c r="F39" i="265"/>
  <c r="H39" i="265" s="1"/>
  <c r="E40" i="264"/>
  <c r="D40" i="264"/>
  <c r="B40" i="264"/>
  <c r="C40" i="264"/>
  <c r="G40" i="264"/>
  <c r="A41" i="264"/>
  <c r="H39" i="264"/>
  <c r="AA42" i="260"/>
  <c r="AB42" i="260"/>
  <c r="AC42" i="260"/>
  <c r="Z43" i="260"/>
  <c r="AD41" i="260"/>
  <c r="B50" i="253"/>
  <c r="C50" i="253"/>
  <c r="D50" i="253"/>
  <c r="E50" i="253"/>
  <c r="A51" i="253"/>
  <c r="F49" i="253"/>
  <c r="B40" i="252"/>
  <c r="C40" i="252"/>
  <c r="D40" i="252"/>
  <c r="G40" i="252"/>
  <c r="A41" i="252"/>
  <c r="E39" i="252"/>
  <c r="F39" i="252"/>
  <c r="H39" i="252"/>
  <c r="I39" i="252" s="1"/>
  <c r="B40" i="251"/>
  <c r="C40" i="251"/>
  <c r="D40" i="251"/>
  <c r="G40" i="251"/>
  <c r="A41" i="251"/>
  <c r="E39" i="251"/>
  <c r="F39" i="251"/>
  <c r="J39" i="251" s="1"/>
  <c r="H39" i="251"/>
  <c r="I39" i="251"/>
  <c r="AA42" i="210"/>
  <c r="AB42" i="210"/>
  <c r="AC42" i="210"/>
  <c r="Z43" i="210"/>
  <c r="N43" i="164"/>
  <c r="L44" i="164"/>
  <c r="M43" i="164"/>
  <c r="O43" i="164" s="1"/>
  <c r="AB42" i="156"/>
  <c r="AA42" i="156"/>
  <c r="Z43" i="156"/>
  <c r="AC42" i="156"/>
  <c r="E48" i="275" l="1"/>
  <c r="G48" i="275"/>
  <c r="C48" i="275"/>
  <c r="B48" i="275"/>
  <c r="F48" i="275"/>
  <c r="A49" i="275"/>
  <c r="D48" i="275"/>
  <c r="H47" i="275"/>
  <c r="C41" i="273"/>
  <c r="D41" i="273"/>
  <c r="B41" i="273"/>
  <c r="E41" i="273"/>
  <c r="A42" i="273"/>
  <c r="F40" i="273"/>
  <c r="B41" i="272"/>
  <c r="C41" i="272"/>
  <c r="D41" i="272"/>
  <c r="E41" i="272"/>
  <c r="A42" i="272"/>
  <c r="F40" i="272"/>
  <c r="H40" i="266"/>
  <c r="J39" i="252"/>
  <c r="D41" i="266"/>
  <c r="C41" i="266"/>
  <c r="B41" i="266"/>
  <c r="E41" i="266"/>
  <c r="A42" i="266"/>
  <c r="G41" i="266"/>
  <c r="D41" i="265"/>
  <c r="B41" i="265"/>
  <c r="E41" i="265"/>
  <c r="C41" i="265"/>
  <c r="G41" i="265"/>
  <c r="A42" i="265"/>
  <c r="D41" i="264"/>
  <c r="E41" i="264"/>
  <c r="B41" i="264"/>
  <c r="C41" i="264"/>
  <c r="A42" i="264"/>
  <c r="G41" i="264"/>
  <c r="F40" i="264"/>
  <c r="H40" i="264" s="1"/>
  <c r="AA43" i="260"/>
  <c r="AB43" i="260"/>
  <c r="AC43" i="260"/>
  <c r="Z44" i="260"/>
  <c r="AD42" i="260"/>
  <c r="B51" i="253"/>
  <c r="E51" i="253"/>
  <c r="C51" i="253"/>
  <c r="D51" i="253"/>
  <c r="A52" i="253"/>
  <c r="F50" i="253"/>
  <c r="B41" i="252"/>
  <c r="C41" i="252"/>
  <c r="D41" i="252"/>
  <c r="G41" i="252"/>
  <c r="A42" i="252"/>
  <c r="E40" i="252"/>
  <c r="F40" i="252"/>
  <c r="H40" i="252"/>
  <c r="I40" i="252"/>
  <c r="B41" i="251"/>
  <c r="C41" i="251"/>
  <c r="D41" i="251"/>
  <c r="G41" i="251"/>
  <c r="A42" i="251"/>
  <c r="E40" i="251"/>
  <c r="F40" i="251"/>
  <c r="J40" i="251" s="1"/>
  <c r="H40" i="251"/>
  <c r="I40" i="251"/>
  <c r="AA43" i="210"/>
  <c r="AD43" i="210" s="1"/>
  <c r="AB43" i="210"/>
  <c r="AC43" i="210"/>
  <c r="Z44" i="210"/>
  <c r="AD42" i="210"/>
  <c r="L45" i="164"/>
  <c r="N44" i="164"/>
  <c r="M44" i="164"/>
  <c r="O44" i="164" s="1"/>
  <c r="AA43" i="156"/>
  <c r="AB43" i="156"/>
  <c r="AC43" i="156"/>
  <c r="Z44" i="156"/>
  <c r="AD42" i="156"/>
  <c r="H48" i="275" l="1"/>
  <c r="F49" i="275"/>
  <c r="E49" i="275"/>
  <c r="C49" i="275"/>
  <c r="A50" i="275"/>
  <c r="B49" i="275"/>
  <c r="G49" i="275"/>
  <c r="D49" i="275"/>
  <c r="F41" i="273"/>
  <c r="B42" i="273"/>
  <c r="D42" i="273"/>
  <c r="E42" i="273"/>
  <c r="C42" i="273"/>
  <c r="A43" i="273"/>
  <c r="B42" i="272"/>
  <c r="C42" i="272"/>
  <c r="D42" i="272"/>
  <c r="E42" i="272"/>
  <c r="A43" i="272"/>
  <c r="F41" i="272"/>
  <c r="F41" i="266"/>
  <c r="H41" i="266" s="1"/>
  <c r="E42" i="266"/>
  <c r="C42" i="266"/>
  <c r="B42" i="266"/>
  <c r="D42" i="266"/>
  <c r="A43" i="266"/>
  <c r="G42" i="266"/>
  <c r="D42" i="265"/>
  <c r="E42" i="265"/>
  <c r="B42" i="265"/>
  <c r="F42" i="265" s="1"/>
  <c r="H42" i="265" s="1"/>
  <c r="C42" i="265"/>
  <c r="A43" i="265"/>
  <c r="G42" i="265"/>
  <c r="F41" i="265"/>
  <c r="H41" i="265" s="1"/>
  <c r="E42" i="264"/>
  <c r="D42" i="264"/>
  <c r="B42" i="264"/>
  <c r="C42" i="264"/>
  <c r="G42" i="264"/>
  <c r="A43" i="264"/>
  <c r="F41" i="264"/>
  <c r="H41" i="264" s="1"/>
  <c r="AB44" i="260"/>
  <c r="AA44" i="260"/>
  <c r="AD44" i="260" s="1"/>
  <c r="AC44" i="260"/>
  <c r="Z45" i="260"/>
  <c r="AD43" i="260"/>
  <c r="D52" i="253"/>
  <c r="B52" i="253"/>
  <c r="F52" i="253" s="1"/>
  <c r="E52" i="253"/>
  <c r="C52" i="253"/>
  <c r="A53" i="253"/>
  <c r="F51" i="253"/>
  <c r="B42" i="252"/>
  <c r="C42" i="252"/>
  <c r="D42" i="252"/>
  <c r="G42" i="252"/>
  <c r="A43" i="252"/>
  <c r="J40" i="252"/>
  <c r="E41" i="252"/>
  <c r="F41" i="252"/>
  <c r="J41" i="252" s="1"/>
  <c r="H41" i="252"/>
  <c r="I41" i="252"/>
  <c r="B42" i="251"/>
  <c r="F42" i="251"/>
  <c r="C42" i="251"/>
  <c r="D42" i="251"/>
  <c r="E42" i="251" s="1"/>
  <c r="G42" i="251"/>
  <c r="A43" i="251"/>
  <c r="E41" i="251"/>
  <c r="F41" i="251"/>
  <c r="J41" i="251" s="1"/>
  <c r="H41" i="251"/>
  <c r="I41" i="251"/>
  <c r="AB44" i="210"/>
  <c r="AA44" i="210"/>
  <c r="AD44" i="210" s="1"/>
  <c r="Z45" i="210"/>
  <c r="AC44" i="210"/>
  <c r="M45" i="164"/>
  <c r="O45" i="164" s="1"/>
  <c r="L46" i="164"/>
  <c r="N45" i="164"/>
  <c r="AB44" i="156"/>
  <c r="AA44" i="156"/>
  <c r="AC44" i="156"/>
  <c r="Z45" i="156"/>
  <c r="AD43" i="156"/>
  <c r="G50" i="275" l="1"/>
  <c r="D50" i="275"/>
  <c r="C50" i="275"/>
  <c r="B50" i="275"/>
  <c r="E50" i="275"/>
  <c r="A51" i="275"/>
  <c r="F50" i="275"/>
  <c r="H49" i="275"/>
  <c r="B43" i="273"/>
  <c r="E43" i="273"/>
  <c r="C43" i="273"/>
  <c r="D43" i="273"/>
  <c r="A44" i="273"/>
  <c r="F42" i="273"/>
  <c r="E43" i="272"/>
  <c r="B43" i="272"/>
  <c r="C43" i="272"/>
  <c r="D43" i="272"/>
  <c r="A44" i="272"/>
  <c r="F42" i="272"/>
  <c r="AD44" i="156"/>
  <c r="C43" i="266"/>
  <c r="D43" i="266"/>
  <c r="E43" i="266"/>
  <c r="B43" i="266"/>
  <c r="A44" i="266"/>
  <c r="G43" i="266"/>
  <c r="F42" i="266"/>
  <c r="H42" i="266" s="1"/>
  <c r="D43" i="265"/>
  <c r="E43" i="265"/>
  <c r="B43" i="265"/>
  <c r="C43" i="265"/>
  <c r="A44" i="265"/>
  <c r="G43" i="265"/>
  <c r="E43" i="264"/>
  <c r="D43" i="264"/>
  <c r="B43" i="264"/>
  <c r="C43" i="264"/>
  <c r="G43" i="264"/>
  <c r="A44" i="264"/>
  <c r="F42" i="264"/>
  <c r="H42" i="264" s="1"/>
  <c r="AA45" i="260"/>
  <c r="AD45" i="260" s="1"/>
  <c r="AB45" i="260"/>
  <c r="AC45" i="260"/>
  <c r="Z46" i="260"/>
  <c r="D53" i="253"/>
  <c r="E53" i="253"/>
  <c r="B53" i="253"/>
  <c r="C53" i="253"/>
  <c r="A54" i="253"/>
  <c r="B43" i="252"/>
  <c r="C43" i="252"/>
  <c r="D43" i="252"/>
  <c r="G43" i="252"/>
  <c r="A44" i="252"/>
  <c r="E42" i="252"/>
  <c r="F42" i="252"/>
  <c r="H42" i="252"/>
  <c r="I42" i="252"/>
  <c r="B43" i="251"/>
  <c r="C43" i="251"/>
  <c r="D43" i="251"/>
  <c r="G43" i="251"/>
  <c r="A44" i="251"/>
  <c r="H42" i="251"/>
  <c r="I42" i="251"/>
  <c r="J42" i="251" s="1"/>
  <c r="AA45" i="210"/>
  <c r="AB45" i="210"/>
  <c r="AC45" i="210"/>
  <c r="Z46" i="210"/>
  <c r="N46" i="164"/>
  <c r="L47" i="164"/>
  <c r="M46" i="164"/>
  <c r="O46" i="164" s="1"/>
  <c r="AB45" i="156"/>
  <c r="AA45" i="156"/>
  <c r="AC45" i="156"/>
  <c r="Z46" i="156"/>
  <c r="H50" i="275" l="1"/>
  <c r="D51" i="275"/>
  <c r="B51" i="275"/>
  <c r="A52" i="275"/>
  <c r="F51" i="275"/>
  <c r="G51" i="275"/>
  <c r="C51" i="275"/>
  <c r="E51" i="275"/>
  <c r="C44" i="273"/>
  <c r="D44" i="273"/>
  <c r="B44" i="273"/>
  <c r="E44" i="273"/>
  <c r="A45" i="273"/>
  <c r="F43" i="273"/>
  <c r="F43" i="272"/>
  <c r="E44" i="272"/>
  <c r="B44" i="272"/>
  <c r="C44" i="272"/>
  <c r="D44" i="272"/>
  <c r="A45" i="272"/>
  <c r="J42" i="252"/>
  <c r="AD45" i="156"/>
  <c r="E44" i="266"/>
  <c r="B44" i="266"/>
  <c r="C44" i="266"/>
  <c r="D44" i="266"/>
  <c r="A45" i="266"/>
  <c r="G44" i="266"/>
  <c r="F43" i="266"/>
  <c r="H43" i="266" s="1"/>
  <c r="C44" i="265"/>
  <c r="B44" i="265"/>
  <c r="D44" i="265"/>
  <c r="E44" i="265"/>
  <c r="A45" i="265"/>
  <c r="G44" i="265"/>
  <c r="F43" i="265"/>
  <c r="H43" i="265" s="1"/>
  <c r="B44" i="264"/>
  <c r="C44" i="264"/>
  <c r="D44" i="264"/>
  <c r="E44" i="264"/>
  <c r="G44" i="264"/>
  <c r="A45" i="264"/>
  <c r="F43" i="264"/>
  <c r="H43" i="264" s="1"/>
  <c r="AA46" i="260"/>
  <c r="AB46" i="260"/>
  <c r="Z47" i="260"/>
  <c r="AC46" i="260"/>
  <c r="C54" i="253"/>
  <c r="D54" i="253"/>
  <c r="B54" i="253"/>
  <c r="F54" i="253" s="1"/>
  <c r="E54" i="253"/>
  <c r="A55" i="253"/>
  <c r="F53" i="253"/>
  <c r="B44" i="252"/>
  <c r="C44" i="252"/>
  <c r="D44" i="252"/>
  <c r="G44" i="252"/>
  <c r="A45" i="252"/>
  <c r="E43" i="252"/>
  <c r="F43" i="252"/>
  <c r="H43" i="252"/>
  <c r="I43" i="252"/>
  <c r="B44" i="251"/>
  <c r="C44" i="251"/>
  <c r="D44" i="251"/>
  <c r="G44" i="251"/>
  <c r="A45" i="251"/>
  <c r="E43" i="251"/>
  <c r="F43" i="251"/>
  <c r="J43" i="251" s="1"/>
  <c r="H43" i="251"/>
  <c r="I43" i="251"/>
  <c r="AB46" i="210"/>
  <c r="AA46" i="210"/>
  <c r="AD46" i="210" s="1"/>
  <c r="AC46" i="210"/>
  <c r="Z47" i="210"/>
  <c r="AD45" i="210"/>
  <c r="M47" i="164"/>
  <c r="O47" i="164" s="1"/>
  <c r="N47" i="164"/>
  <c r="L48" i="164"/>
  <c r="AB46" i="156"/>
  <c r="AA46" i="156"/>
  <c r="AC46" i="156"/>
  <c r="Z47" i="156"/>
  <c r="A53" i="275" l="1"/>
  <c r="D52" i="275"/>
  <c r="E52" i="275"/>
  <c r="B52" i="275"/>
  <c r="F52" i="275"/>
  <c r="C52" i="275"/>
  <c r="G52" i="275"/>
  <c r="H51" i="275"/>
  <c r="C45" i="273"/>
  <c r="D45" i="273"/>
  <c r="E45" i="273"/>
  <c r="B45" i="273"/>
  <c r="A46" i="273"/>
  <c r="F44" i="273"/>
  <c r="B45" i="272"/>
  <c r="E45" i="272"/>
  <c r="C45" i="272"/>
  <c r="D45" i="272"/>
  <c r="A46" i="272"/>
  <c r="F44" i="272"/>
  <c r="J43" i="252"/>
  <c r="C45" i="266"/>
  <c r="E45" i="266"/>
  <c r="B45" i="266"/>
  <c r="D45" i="266"/>
  <c r="A46" i="266"/>
  <c r="G45" i="266"/>
  <c r="F44" i="266"/>
  <c r="H44" i="266" s="1"/>
  <c r="D45" i="265"/>
  <c r="E45" i="265"/>
  <c r="B45" i="265"/>
  <c r="F45" i="265" s="1"/>
  <c r="H45" i="265" s="1"/>
  <c r="C45" i="265"/>
  <c r="A46" i="265"/>
  <c r="G45" i="265"/>
  <c r="F44" i="265"/>
  <c r="H44" i="265" s="1"/>
  <c r="E45" i="264"/>
  <c r="D45" i="264"/>
  <c r="B45" i="264"/>
  <c r="F45" i="264" s="1"/>
  <c r="H45" i="264" s="1"/>
  <c r="C45" i="264"/>
  <c r="G45" i="264"/>
  <c r="A46" i="264"/>
  <c r="F44" i="264"/>
  <c r="H44" i="264" s="1"/>
  <c r="AB47" i="260"/>
  <c r="AA47" i="260"/>
  <c r="AD47" i="260" s="1"/>
  <c r="Z48" i="260"/>
  <c r="AC47" i="260"/>
  <c r="AD46" i="260"/>
  <c r="D55" i="253"/>
  <c r="B55" i="253"/>
  <c r="F55" i="253" s="1"/>
  <c r="C55" i="253"/>
  <c r="E55" i="253"/>
  <c r="A56" i="253"/>
  <c r="B45" i="252"/>
  <c r="C45" i="252"/>
  <c r="D45" i="252"/>
  <c r="G45" i="252"/>
  <c r="A46" i="252"/>
  <c r="E44" i="252"/>
  <c r="F44" i="252"/>
  <c r="H44" i="252"/>
  <c r="I44" i="252"/>
  <c r="B45" i="251"/>
  <c r="C45" i="251"/>
  <c r="D45" i="251"/>
  <c r="G45" i="251"/>
  <c r="A46" i="251"/>
  <c r="E44" i="251"/>
  <c r="F44" i="251"/>
  <c r="J44" i="251" s="1"/>
  <c r="H44" i="251"/>
  <c r="I44" i="251"/>
  <c r="AB47" i="210"/>
  <c r="AA47" i="210"/>
  <c r="AD47" i="210" s="1"/>
  <c r="AC47" i="210"/>
  <c r="Z48" i="210"/>
  <c r="N48" i="164"/>
  <c r="M48" i="164"/>
  <c r="O48" i="164" s="1"/>
  <c r="L49" i="164"/>
  <c r="AA47" i="156"/>
  <c r="AB47" i="156"/>
  <c r="AC47" i="156"/>
  <c r="Z48" i="156"/>
  <c r="AD46" i="156"/>
  <c r="F53" i="275" l="1"/>
  <c r="D53" i="275"/>
  <c r="E53" i="275"/>
  <c r="C53" i="275"/>
  <c r="G53" i="275"/>
  <c r="A54" i="275"/>
  <c r="B53" i="275"/>
  <c r="H52" i="275"/>
  <c r="F45" i="273"/>
  <c r="C46" i="273"/>
  <c r="B46" i="273"/>
  <c r="E46" i="273"/>
  <c r="D46" i="273"/>
  <c r="A47" i="273"/>
  <c r="E46" i="272"/>
  <c r="B46" i="272"/>
  <c r="C46" i="272"/>
  <c r="D46" i="272"/>
  <c r="A47" i="272"/>
  <c r="F45" i="272"/>
  <c r="J44" i="252"/>
  <c r="AD47" i="156"/>
  <c r="D46" i="266"/>
  <c r="B46" i="266"/>
  <c r="C46" i="266"/>
  <c r="E46" i="266"/>
  <c r="A47" i="266"/>
  <c r="G46" i="266"/>
  <c r="F45" i="266"/>
  <c r="H45" i="266" s="1"/>
  <c r="D46" i="265"/>
  <c r="E46" i="265"/>
  <c r="B46" i="265"/>
  <c r="F46" i="265" s="1"/>
  <c r="C46" i="265"/>
  <c r="G46" i="265"/>
  <c r="A47" i="265"/>
  <c r="E46" i="264"/>
  <c r="D46" i="264"/>
  <c r="B46" i="264"/>
  <c r="F46" i="264" s="1"/>
  <c r="H46" i="264" s="1"/>
  <c r="C46" i="264"/>
  <c r="A47" i="264"/>
  <c r="G46" i="264"/>
  <c r="AB48" i="260"/>
  <c r="AA48" i="260"/>
  <c r="AD48" i="260" s="1"/>
  <c r="Z49" i="260"/>
  <c r="AC48" i="260"/>
  <c r="C56" i="253"/>
  <c r="D56" i="253"/>
  <c r="E56" i="253"/>
  <c r="B56" i="253"/>
  <c r="F56" i="253" s="1"/>
  <c r="A57" i="253"/>
  <c r="B46" i="252"/>
  <c r="C46" i="252"/>
  <c r="D46" i="252"/>
  <c r="G46" i="252"/>
  <c r="A47" i="252"/>
  <c r="E45" i="252"/>
  <c r="F45" i="252"/>
  <c r="H45" i="252"/>
  <c r="I45" i="252"/>
  <c r="B46" i="251"/>
  <c r="C46" i="251"/>
  <c r="D46" i="251"/>
  <c r="G46" i="251"/>
  <c r="A47" i="251"/>
  <c r="E45" i="251"/>
  <c r="F45" i="251"/>
  <c r="J45" i="251" s="1"/>
  <c r="H45" i="251"/>
  <c r="I45" i="251"/>
  <c r="AB48" i="210"/>
  <c r="AA48" i="210"/>
  <c r="AD48" i="210" s="1"/>
  <c r="AC48" i="210"/>
  <c r="Z49" i="210"/>
  <c r="L50" i="164"/>
  <c r="M49" i="164"/>
  <c r="O49" i="164" s="1"/>
  <c r="N49" i="164"/>
  <c r="AB48" i="156"/>
  <c r="AA48" i="156"/>
  <c r="AC48" i="156"/>
  <c r="Z49" i="156"/>
  <c r="E54" i="275" l="1"/>
  <c r="C54" i="275"/>
  <c r="B54" i="275"/>
  <c r="D54" i="275"/>
  <c r="A55" i="275"/>
  <c r="G54" i="275"/>
  <c r="F54" i="275"/>
  <c r="H53" i="275"/>
  <c r="D47" i="273"/>
  <c r="B47" i="273"/>
  <c r="C47" i="273"/>
  <c r="E47" i="273"/>
  <c r="A48" i="273"/>
  <c r="F46" i="273"/>
  <c r="E47" i="272"/>
  <c r="B47" i="272"/>
  <c r="C47" i="272"/>
  <c r="D47" i="272"/>
  <c r="A48" i="272"/>
  <c r="F46" i="272"/>
  <c r="F46" i="266"/>
  <c r="H46" i="266" s="1"/>
  <c r="J45" i="252"/>
  <c r="AD48" i="156"/>
  <c r="D47" i="266"/>
  <c r="B47" i="266"/>
  <c r="C47" i="266"/>
  <c r="E47" i="266"/>
  <c r="G47" i="266"/>
  <c r="A48" i="266"/>
  <c r="D47" i="265"/>
  <c r="E47" i="265"/>
  <c r="B47" i="265"/>
  <c r="C47" i="265"/>
  <c r="A48" i="265"/>
  <c r="G47" i="265"/>
  <c r="H46" i="265"/>
  <c r="E47" i="264"/>
  <c r="D47" i="264"/>
  <c r="B47" i="264"/>
  <c r="C47" i="264"/>
  <c r="A48" i="264"/>
  <c r="G47" i="264"/>
  <c r="AB49" i="260"/>
  <c r="AA49" i="260"/>
  <c r="AC49" i="260"/>
  <c r="Z50" i="260"/>
  <c r="D57" i="253"/>
  <c r="B57" i="253"/>
  <c r="C57" i="253"/>
  <c r="E57" i="253"/>
  <c r="A58" i="253"/>
  <c r="B47" i="252"/>
  <c r="C47" i="252"/>
  <c r="A48" i="252"/>
  <c r="D47" i="252"/>
  <c r="G47" i="252"/>
  <c r="E46" i="252"/>
  <c r="F46" i="252"/>
  <c r="H46" i="252"/>
  <c r="I46" i="252"/>
  <c r="B47" i="251"/>
  <c r="C47" i="251"/>
  <c r="A48" i="251"/>
  <c r="D47" i="251"/>
  <c r="G47" i="251"/>
  <c r="E46" i="251"/>
  <c r="F46" i="251"/>
  <c r="J46" i="251" s="1"/>
  <c r="H46" i="251"/>
  <c r="I46" i="251"/>
  <c r="AA49" i="210"/>
  <c r="AB49" i="210"/>
  <c r="AC49" i="210"/>
  <c r="Z50" i="210"/>
  <c r="M50" i="164"/>
  <c r="O50" i="164" s="1"/>
  <c r="N50" i="164"/>
  <c r="L51" i="164"/>
  <c r="AB49" i="156"/>
  <c r="AA49" i="156"/>
  <c r="AC49" i="156"/>
  <c r="Z50" i="156"/>
  <c r="G55" i="275" l="1"/>
  <c r="B55" i="275"/>
  <c r="D55" i="275"/>
  <c r="E55" i="275"/>
  <c r="C55" i="275"/>
  <c r="F55" i="275"/>
  <c r="A56" i="275"/>
  <c r="H54" i="275"/>
  <c r="B48" i="273"/>
  <c r="C48" i="273"/>
  <c r="E48" i="273"/>
  <c r="D48" i="273"/>
  <c r="A49" i="273"/>
  <c r="F47" i="273"/>
  <c r="B48" i="272"/>
  <c r="E48" i="272"/>
  <c r="C48" i="272"/>
  <c r="D48" i="272"/>
  <c r="A49" i="272"/>
  <c r="F47" i="272"/>
  <c r="J46" i="252"/>
  <c r="C48" i="266"/>
  <c r="D48" i="266"/>
  <c r="E48" i="266"/>
  <c r="B48" i="266"/>
  <c r="G48" i="266"/>
  <c r="A49" i="266"/>
  <c r="F47" i="266"/>
  <c r="H47" i="266" s="1"/>
  <c r="D48" i="265"/>
  <c r="E48" i="265"/>
  <c r="B48" i="265"/>
  <c r="C48" i="265"/>
  <c r="G48" i="265"/>
  <c r="A49" i="265"/>
  <c r="F47" i="265"/>
  <c r="H47" i="265" s="1"/>
  <c r="B48" i="264"/>
  <c r="E48" i="264"/>
  <c r="D48" i="264"/>
  <c r="C48" i="264"/>
  <c r="A49" i="264"/>
  <c r="G48" i="264"/>
  <c r="F47" i="264"/>
  <c r="H47" i="264" s="1"/>
  <c r="AA50" i="260"/>
  <c r="AB50" i="260"/>
  <c r="Z51" i="260"/>
  <c r="AC50" i="260"/>
  <c r="AD49" i="260"/>
  <c r="C58" i="253"/>
  <c r="D58" i="253"/>
  <c r="B58" i="253"/>
  <c r="E58" i="253"/>
  <c r="A59" i="253"/>
  <c r="F57" i="253"/>
  <c r="B48" i="252"/>
  <c r="C48" i="252"/>
  <c r="A49" i="252"/>
  <c r="D48" i="252"/>
  <c r="G48" i="252"/>
  <c r="E47" i="252"/>
  <c r="F47" i="252"/>
  <c r="J47" i="252" s="1"/>
  <c r="H47" i="252"/>
  <c r="I47" i="252"/>
  <c r="B48" i="251"/>
  <c r="C48" i="251"/>
  <c r="A49" i="251"/>
  <c r="D48" i="251"/>
  <c r="G48" i="251"/>
  <c r="E47" i="251"/>
  <c r="F47" i="251"/>
  <c r="J47" i="251" s="1"/>
  <c r="H47" i="251"/>
  <c r="I47" i="251"/>
  <c r="AB50" i="210"/>
  <c r="AA50" i="210"/>
  <c r="AC50" i="210"/>
  <c r="Z51" i="210"/>
  <c r="AD49" i="210"/>
  <c r="L52" i="164"/>
  <c r="N51" i="164"/>
  <c r="M51" i="164"/>
  <c r="O51" i="164" s="1"/>
  <c r="AB50" i="156"/>
  <c r="AA50" i="156"/>
  <c r="Z51" i="156"/>
  <c r="AC50" i="156"/>
  <c r="AD49" i="156"/>
  <c r="G56" i="275" l="1"/>
  <c r="F56" i="275"/>
  <c r="E56" i="275"/>
  <c r="B56" i="275"/>
  <c r="C56" i="275"/>
  <c r="A57" i="275"/>
  <c r="D56" i="275"/>
  <c r="H55" i="275"/>
  <c r="C49" i="273"/>
  <c r="D49" i="273"/>
  <c r="E49" i="273"/>
  <c r="B49" i="273"/>
  <c r="A50" i="273"/>
  <c r="F48" i="273"/>
  <c r="E49" i="272"/>
  <c r="B49" i="272"/>
  <c r="C49" i="272"/>
  <c r="D49" i="272"/>
  <c r="A50" i="272"/>
  <c r="F48" i="272"/>
  <c r="D49" i="266"/>
  <c r="C49" i="266"/>
  <c r="E49" i="266"/>
  <c r="B49" i="266"/>
  <c r="A50" i="266"/>
  <c r="G49" i="266"/>
  <c r="F48" i="266"/>
  <c r="H48" i="266" s="1"/>
  <c r="B49" i="265"/>
  <c r="D49" i="265"/>
  <c r="E49" i="265"/>
  <c r="C49" i="265"/>
  <c r="A50" i="265"/>
  <c r="G49" i="265"/>
  <c r="F48" i="265"/>
  <c r="H48" i="265" s="1"/>
  <c r="E49" i="264"/>
  <c r="C49" i="264"/>
  <c r="D49" i="264"/>
  <c r="B49" i="264"/>
  <c r="F49" i="264" s="1"/>
  <c r="H49" i="264" s="1"/>
  <c r="A50" i="264"/>
  <c r="G49" i="264"/>
  <c r="F48" i="264"/>
  <c r="H48" i="264" s="1"/>
  <c r="AB51" i="260"/>
  <c r="AA51" i="260"/>
  <c r="Z52" i="260"/>
  <c r="AC51" i="260"/>
  <c r="AD50" i="260"/>
  <c r="C59" i="253"/>
  <c r="D59" i="253"/>
  <c r="E59" i="253"/>
  <c r="B59" i="253"/>
  <c r="F59" i="253" s="1"/>
  <c r="A60" i="253"/>
  <c r="F58" i="253"/>
  <c r="B49" i="252"/>
  <c r="C49" i="252"/>
  <c r="A50" i="252"/>
  <c r="D49" i="252"/>
  <c r="G49" i="252"/>
  <c r="E48" i="252"/>
  <c r="F48" i="252"/>
  <c r="H48" i="252"/>
  <c r="I48" i="252"/>
  <c r="B49" i="251"/>
  <c r="C49" i="251"/>
  <c r="G49" i="251"/>
  <c r="A50" i="251"/>
  <c r="D49" i="251"/>
  <c r="E48" i="251"/>
  <c r="F48" i="251"/>
  <c r="J48" i="251" s="1"/>
  <c r="H48" i="251"/>
  <c r="I48" i="251"/>
  <c r="AA51" i="210"/>
  <c r="AB51" i="210"/>
  <c r="Z52" i="210"/>
  <c r="AC51" i="210"/>
  <c r="AD50" i="210"/>
  <c r="M52" i="164"/>
  <c r="O52" i="164" s="1"/>
  <c r="L53" i="164"/>
  <c r="N52" i="164"/>
  <c r="AB51" i="156"/>
  <c r="AA51" i="156"/>
  <c r="Z52" i="156"/>
  <c r="AC51" i="156"/>
  <c r="AD50" i="156"/>
  <c r="B57" i="275" l="1"/>
  <c r="D57" i="275"/>
  <c r="A58" i="275"/>
  <c r="E57" i="275"/>
  <c r="G57" i="275"/>
  <c r="F57" i="275"/>
  <c r="C57" i="275"/>
  <c r="H56" i="275"/>
  <c r="F49" i="273"/>
  <c r="C50" i="273"/>
  <c r="D50" i="273"/>
  <c r="B50" i="273"/>
  <c r="E50" i="273"/>
  <c r="A51" i="273"/>
  <c r="B50" i="272"/>
  <c r="E50" i="272"/>
  <c r="C50" i="272"/>
  <c r="D50" i="272"/>
  <c r="A51" i="272"/>
  <c r="F49" i="272"/>
  <c r="J48" i="252"/>
  <c r="AD51" i="156"/>
  <c r="D50" i="266"/>
  <c r="E50" i="266"/>
  <c r="B50" i="266"/>
  <c r="C50" i="266"/>
  <c r="G50" i="266"/>
  <c r="A51" i="266"/>
  <c r="F49" i="266"/>
  <c r="H49" i="266" s="1"/>
  <c r="E50" i="265"/>
  <c r="B50" i="265"/>
  <c r="C50" i="265"/>
  <c r="D50" i="265"/>
  <c r="G50" i="265"/>
  <c r="A51" i="265"/>
  <c r="F49" i="265"/>
  <c r="H49" i="265" s="1"/>
  <c r="C50" i="264"/>
  <c r="D50" i="264"/>
  <c r="E50" i="264"/>
  <c r="B50" i="264"/>
  <c r="F50" i="264" s="1"/>
  <c r="H50" i="264" s="1"/>
  <c r="A51" i="264"/>
  <c r="G50" i="264"/>
  <c r="AB52" i="260"/>
  <c r="AA52" i="260"/>
  <c r="AC52" i="260"/>
  <c r="Z53" i="260"/>
  <c r="AD51" i="260"/>
  <c r="D60" i="253"/>
  <c r="B60" i="253"/>
  <c r="C60" i="253"/>
  <c r="E60" i="253"/>
  <c r="A61" i="253"/>
  <c r="B50" i="252"/>
  <c r="C50" i="252"/>
  <c r="D50" i="252"/>
  <c r="G50" i="252"/>
  <c r="A51" i="252"/>
  <c r="E49" i="252"/>
  <c r="F49" i="252" s="1"/>
  <c r="H49" i="252"/>
  <c r="I49" i="252"/>
  <c r="B50" i="251"/>
  <c r="C50" i="251"/>
  <c r="D50" i="251"/>
  <c r="G50" i="251"/>
  <c r="A51" i="251"/>
  <c r="H49" i="251"/>
  <c r="I49" i="251"/>
  <c r="E49" i="251"/>
  <c r="F49" i="251"/>
  <c r="J49" i="251" s="1"/>
  <c r="AB52" i="210"/>
  <c r="AA52" i="210"/>
  <c r="AC52" i="210"/>
  <c r="Z53" i="210"/>
  <c r="AD51" i="210"/>
  <c r="N53" i="164"/>
  <c r="M53" i="164"/>
  <c r="O53" i="164" s="1"/>
  <c r="L54" i="164"/>
  <c r="AB52" i="156"/>
  <c r="AA52" i="156"/>
  <c r="Z53" i="156"/>
  <c r="AC52" i="156"/>
  <c r="E58" i="275" l="1"/>
  <c r="C58" i="275"/>
  <c r="D58" i="275"/>
  <c r="B58" i="275"/>
  <c r="G58" i="275"/>
  <c r="A59" i="275"/>
  <c r="F58" i="275"/>
  <c r="H57" i="275"/>
  <c r="E51" i="273"/>
  <c r="B51" i="273"/>
  <c r="D51" i="273"/>
  <c r="C51" i="273"/>
  <c r="A52" i="273"/>
  <c r="F50" i="273"/>
  <c r="D51" i="272"/>
  <c r="B51" i="272"/>
  <c r="E51" i="272"/>
  <c r="C51" i="272"/>
  <c r="A52" i="272"/>
  <c r="F50" i="272"/>
  <c r="B51" i="266"/>
  <c r="C51" i="266"/>
  <c r="E51" i="266"/>
  <c r="D51" i="266"/>
  <c r="A52" i="266"/>
  <c r="G51" i="266"/>
  <c r="F50" i="266"/>
  <c r="H50" i="266" s="1"/>
  <c r="D51" i="265"/>
  <c r="E51" i="265"/>
  <c r="B51" i="265"/>
  <c r="C51" i="265"/>
  <c r="G51" i="265"/>
  <c r="A52" i="265"/>
  <c r="F50" i="265"/>
  <c r="H50" i="265" s="1"/>
  <c r="C51" i="264"/>
  <c r="E51" i="264"/>
  <c r="D51" i="264"/>
  <c r="B51" i="264"/>
  <c r="F51" i="264" s="1"/>
  <c r="G51" i="264"/>
  <c r="A52" i="264"/>
  <c r="AA53" i="260"/>
  <c r="AB53" i="260"/>
  <c r="AC53" i="260"/>
  <c r="Z54" i="260"/>
  <c r="AD52" i="260"/>
  <c r="B61" i="253"/>
  <c r="D61" i="253"/>
  <c r="E61" i="253"/>
  <c r="C61" i="253"/>
  <c r="A62" i="253"/>
  <c r="F60" i="253"/>
  <c r="B51" i="252"/>
  <c r="C51" i="252"/>
  <c r="G51" i="252"/>
  <c r="D51" i="252"/>
  <c r="A52" i="252"/>
  <c r="J49" i="252"/>
  <c r="E50" i="252"/>
  <c r="F50" i="252"/>
  <c r="H50" i="252"/>
  <c r="I50" i="252"/>
  <c r="C51" i="251"/>
  <c r="B51" i="251"/>
  <c r="D51" i="251"/>
  <c r="A52" i="251"/>
  <c r="G51" i="251"/>
  <c r="E50" i="251"/>
  <c r="F50" i="251"/>
  <c r="J50" i="251" s="1"/>
  <c r="H50" i="251"/>
  <c r="I50" i="251"/>
  <c r="AB53" i="210"/>
  <c r="AA53" i="210"/>
  <c r="AD53" i="210" s="1"/>
  <c r="AC53" i="210"/>
  <c r="Z54" i="210"/>
  <c r="AD52" i="210"/>
  <c r="L55" i="164"/>
  <c r="N54" i="164"/>
  <c r="M54" i="164"/>
  <c r="O54" i="164" s="1"/>
  <c r="AB53" i="156"/>
  <c r="AA53" i="156"/>
  <c r="Z54" i="156"/>
  <c r="AC53" i="156"/>
  <c r="AD52" i="156"/>
  <c r="B59" i="275" l="1"/>
  <c r="F59" i="275"/>
  <c r="G59" i="275"/>
  <c r="D59" i="275"/>
  <c r="E59" i="275"/>
  <c r="C59" i="275"/>
  <c r="A60" i="275"/>
  <c r="H58" i="275"/>
  <c r="C52" i="273"/>
  <c r="D52" i="273"/>
  <c r="E52" i="273"/>
  <c r="B52" i="273"/>
  <c r="A53" i="273"/>
  <c r="F51" i="273"/>
  <c r="E52" i="272"/>
  <c r="B52" i="272"/>
  <c r="C52" i="272"/>
  <c r="D52" i="272"/>
  <c r="A53" i="272"/>
  <c r="F51" i="272"/>
  <c r="D52" i="266"/>
  <c r="C52" i="266"/>
  <c r="E52" i="266"/>
  <c r="B52" i="266"/>
  <c r="A53" i="266"/>
  <c r="G52" i="266"/>
  <c r="F51" i="266"/>
  <c r="H51" i="266" s="1"/>
  <c r="D52" i="265"/>
  <c r="E52" i="265"/>
  <c r="B52" i="265"/>
  <c r="F52" i="265" s="1"/>
  <c r="C52" i="265"/>
  <c r="A53" i="265"/>
  <c r="G52" i="265"/>
  <c r="F51" i="265"/>
  <c r="H51" i="265" s="1"/>
  <c r="D52" i="264"/>
  <c r="E52" i="264"/>
  <c r="B52" i="264"/>
  <c r="C52" i="264"/>
  <c r="A53" i="264"/>
  <c r="G52" i="264"/>
  <c r="H51" i="264"/>
  <c r="AA54" i="260"/>
  <c r="AB54" i="260"/>
  <c r="AC54" i="260"/>
  <c r="Z55" i="260"/>
  <c r="AD53" i="260"/>
  <c r="E62" i="253"/>
  <c r="C62" i="253"/>
  <c r="B62" i="253"/>
  <c r="D62" i="253"/>
  <c r="A63" i="253"/>
  <c r="F61" i="253"/>
  <c r="B52" i="252"/>
  <c r="C52" i="252"/>
  <c r="D52" i="252"/>
  <c r="G52" i="252"/>
  <c r="A53" i="252"/>
  <c r="J50" i="252"/>
  <c r="H51" i="252"/>
  <c r="I51" i="252"/>
  <c r="E51" i="252"/>
  <c r="F51" i="252"/>
  <c r="J51" i="252" s="1"/>
  <c r="C52" i="251"/>
  <c r="B52" i="251"/>
  <c r="A53" i="251"/>
  <c r="G52" i="251"/>
  <c r="D52" i="251"/>
  <c r="E51" i="251"/>
  <c r="F51" i="251"/>
  <c r="J51" i="251" s="1"/>
  <c r="H51" i="251"/>
  <c r="I51" i="251"/>
  <c r="AB54" i="210"/>
  <c r="AA54" i="210"/>
  <c r="AD54" i="210" s="1"/>
  <c r="AC54" i="210"/>
  <c r="Z55" i="210"/>
  <c r="N55" i="164"/>
  <c r="M55" i="164"/>
  <c r="O55" i="164" s="1"/>
  <c r="L56" i="164"/>
  <c r="AB54" i="156"/>
  <c r="AA54" i="156"/>
  <c r="AC54" i="156"/>
  <c r="Z55" i="156"/>
  <c r="AD53" i="156"/>
  <c r="B60" i="275" l="1"/>
  <c r="C60" i="275"/>
  <c r="G60" i="275"/>
  <c r="E60" i="275"/>
  <c r="F60" i="275"/>
  <c r="D60" i="275"/>
  <c r="A61" i="275"/>
  <c r="H59" i="275"/>
  <c r="D53" i="273"/>
  <c r="C53" i="273"/>
  <c r="E53" i="273"/>
  <c r="B53" i="273"/>
  <c r="A54" i="273"/>
  <c r="F52" i="273"/>
  <c r="F52" i="272"/>
  <c r="E53" i="272"/>
  <c r="B53" i="272"/>
  <c r="C53" i="272"/>
  <c r="D53" i="272"/>
  <c r="A54" i="272"/>
  <c r="AD54" i="156"/>
  <c r="B53" i="266"/>
  <c r="D53" i="266"/>
  <c r="E53" i="266"/>
  <c r="C53" i="266"/>
  <c r="A54" i="266"/>
  <c r="G53" i="266"/>
  <c r="F52" i="266"/>
  <c r="H52" i="266" s="1"/>
  <c r="C53" i="265"/>
  <c r="D53" i="265"/>
  <c r="E53" i="265"/>
  <c r="B53" i="265"/>
  <c r="F53" i="265" s="1"/>
  <c r="H53" i="265" s="1"/>
  <c r="G53" i="265"/>
  <c r="A54" i="265"/>
  <c r="H52" i="265"/>
  <c r="E53" i="264"/>
  <c r="D53" i="264"/>
  <c r="B53" i="264"/>
  <c r="C53" i="264"/>
  <c r="A54" i="264"/>
  <c r="G53" i="264"/>
  <c r="F52" i="264"/>
  <c r="H52" i="264" s="1"/>
  <c r="AA55" i="260"/>
  <c r="AB55" i="260"/>
  <c r="AC55" i="260"/>
  <c r="Z56" i="260"/>
  <c r="AD54" i="260"/>
  <c r="C63" i="253"/>
  <c r="D63" i="253"/>
  <c r="E63" i="253"/>
  <c r="B63" i="253"/>
  <c r="A64" i="253"/>
  <c r="F62" i="253"/>
  <c r="B53" i="252"/>
  <c r="C53" i="252"/>
  <c r="D53" i="252"/>
  <c r="G53" i="252"/>
  <c r="A54" i="252"/>
  <c r="E52" i="252"/>
  <c r="F52" i="252"/>
  <c r="H52" i="252"/>
  <c r="I52" i="252" s="1"/>
  <c r="J52" i="252" s="1"/>
  <c r="B53" i="251"/>
  <c r="C53" i="251"/>
  <c r="D53" i="251"/>
  <c r="A54" i="251"/>
  <c r="G53" i="251"/>
  <c r="H52" i="251"/>
  <c r="I52" i="251"/>
  <c r="E52" i="251"/>
  <c r="F52" i="251"/>
  <c r="AA55" i="210"/>
  <c r="AB55" i="210"/>
  <c r="AC55" i="210"/>
  <c r="Z56" i="210"/>
  <c r="N56" i="164"/>
  <c r="M56" i="164"/>
  <c r="O56" i="164" s="1"/>
  <c r="L57" i="164"/>
  <c r="AB55" i="156"/>
  <c r="AA55" i="156"/>
  <c r="AC55" i="156"/>
  <c r="Z56" i="156"/>
  <c r="G61" i="275" l="1"/>
  <c r="B61" i="275"/>
  <c r="C61" i="275"/>
  <c r="D61" i="275"/>
  <c r="E61" i="275"/>
  <c r="F61" i="275"/>
  <c r="A62" i="275"/>
  <c r="H60" i="275"/>
  <c r="F53" i="273"/>
  <c r="B54" i="273"/>
  <c r="C54" i="273"/>
  <c r="D54" i="273"/>
  <c r="E54" i="273"/>
  <c r="A55" i="273"/>
  <c r="E54" i="272"/>
  <c r="D54" i="272"/>
  <c r="B54" i="272"/>
  <c r="C54" i="272"/>
  <c r="A55" i="272"/>
  <c r="F53" i="272"/>
  <c r="B54" i="266"/>
  <c r="E54" i="266"/>
  <c r="C54" i="266"/>
  <c r="D54" i="266"/>
  <c r="G54" i="266"/>
  <c r="A55" i="266"/>
  <c r="F53" i="266"/>
  <c r="H53" i="266" s="1"/>
  <c r="B54" i="265"/>
  <c r="D54" i="265"/>
  <c r="E54" i="265"/>
  <c r="C54" i="265"/>
  <c r="G54" i="265"/>
  <c r="A55" i="265"/>
  <c r="B54" i="264"/>
  <c r="D54" i="264"/>
  <c r="E54" i="264"/>
  <c r="C54" i="264"/>
  <c r="A55" i="264"/>
  <c r="G54" i="264"/>
  <c r="F53" i="264"/>
  <c r="H53" i="264" s="1"/>
  <c r="AB56" i="260"/>
  <c r="AA56" i="260"/>
  <c r="Z57" i="260"/>
  <c r="AC56" i="260"/>
  <c r="AD55" i="260"/>
  <c r="B64" i="253"/>
  <c r="D64" i="253"/>
  <c r="C64" i="253"/>
  <c r="E64" i="253"/>
  <c r="A65" i="253"/>
  <c r="F63" i="253"/>
  <c r="B54" i="252"/>
  <c r="C54" i="252"/>
  <c r="G54" i="252"/>
  <c r="A55" i="252"/>
  <c r="D54" i="252"/>
  <c r="E53" i="252"/>
  <c r="F53" i="252"/>
  <c r="H53" i="252"/>
  <c r="I53" i="252"/>
  <c r="C54" i="251"/>
  <c r="B54" i="251"/>
  <c r="A55" i="251"/>
  <c r="D54" i="251"/>
  <c r="G54" i="251"/>
  <c r="J52" i="251"/>
  <c r="E53" i="251"/>
  <c r="F53" i="251"/>
  <c r="J53" i="251" s="1"/>
  <c r="H53" i="251"/>
  <c r="I53" i="251"/>
  <c r="AA56" i="210"/>
  <c r="AD56" i="210" s="1"/>
  <c r="AB56" i="210"/>
  <c r="AC56" i="210"/>
  <c r="Z57" i="210"/>
  <c r="AD55" i="210"/>
  <c r="N57" i="164"/>
  <c r="M57" i="164"/>
  <c r="O57" i="164" s="1"/>
  <c r="L58" i="164"/>
  <c r="AB56" i="156"/>
  <c r="AA56" i="156"/>
  <c r="AC56" i="156"/>
  <c r="Z57" i="156"/>
  <c r="AD55" i="156"/>
  <c r="E62" i="275" l="1"/>
  <c r="C62" i="275"/>
  <c r="B62" i="275"/>
  <c r="G62" i="275"/>
  <c r="D62" i="275"/>
  <c r="F62" i="275"/>
  <c r="A63" i="275"/>
  <c r="H61" i="275"/>
  <c r="B55" i="273"/>
  <c r="C55" i="273"/>
  <c r="D55" i="273"/>
  <c r="E55" i="273"/>
  <c r="A56" i="273"/>
  <c r="F54" i="273"/>
  <c r="E55" i="272"/>
  <c r="D55" i="272"/>
  <c r="A56" i="272"/>
  <c r="B55" i="272"/>
  <c r="C55" i="272"/>
  <c r="F54" i="272"/>
  <c r="J53" i="252"/>
  <c r="D55" i="266"/>
  <c r="E55" i="266"/>
  <c r="B55" i="266"/>
  <c r="C55" i="266"/>
  <c r="G55" i="266"/>
  <c r="A56" i="266"/>
  <c r="F54" i="266"/>
  <c r="H54" i="266" s="1"/>
  <c r="C55" i="265"/>
  <c r="B55" i="265"/>
  <c r="E55" i="265"/>
  <c r="D55" i="265"/>
  <c r="A56" i="265"/>
  <c r="G55" i="265"/>
  <c r="F54" i="265"/>
  <c r="H54" i="265" s="1"/>
  <c r="B55" i="264"/>
  <c r="F55" i="264" s="1"/>
  <c r="H55" i="264" s="1"/>
  <c r="E55" i="264"/>
  <c r="C55" i="264"/>
  <c r="D55" i="264"/>
  <c r="G55" i="264"/>
  <c r="A56" i="264"/>
  <c r="F54" i="264"/>
  <c r="H54" i="264" s="1"/>
  <c r="AB57" i="260"/>
  <c r="AA57" i="260"/>
  <c r="AD57" i="260" s="1"/>
  <c r="Z58" i="260"/>
  <c r="AC57" i="260"/>
  <c r="AD56" i="260"/>
  <c r="D65" i="253"/>
  <c r="C65" i="253"/>
  <c r="B65" i="253"/>
  <c r="E65" i="253"/>
  <c r="A66" i="253"/>
  <c r="F64" i="253"/>
  <c r="B55" i="252"/>
  <c r="C55" i="252"/>
  <c r="D55" i="252"/>
  <c r="G55" i="252"/>
  <c r="A56" i="252"/>
  <c r="H54" i="252"/>
  <c r="I54" i="252"/>
  <c r="E54" i="252"/>
  <c r="F54" i="252"/>
  <c r="J54" i="252" s="1"/>
  <c r="B55" i="251"/>
  <c r="C55" i="251"/>
  <c r="D55" i="251"/>
  <c r="G55" i="251"/>
  <c r="A56" i="251"/>
  <c r="E54" i="251"/>
  <c r="F54" i="251"/>
  <c r="H54" i="251"/>
  <c r="I54" i="251"/>
  <c r="AB57" i="210"/>
  <c r="AA57" i="210"/>
  <c r="AD57" i="210" s="1"/>
  <c r="AC57" i="210"/>
  <c r="Z58" i="210"/>
  <c r="L59" i="164"/>
  <c r="M58" i="164"/>
  <c r="O58" i="164" s="1"/>
  <c r="N58" i="164"/>
  <c r="AB57" i="156"/>
  <c r="AA57" i="156"/>
  <c r="Z58" i="156"/>
  <c r="AC57" i="156"/>
  <c r="AD56" i="156"/>
  <c r="C63" i="275" l="1"/>
  <c r="F63" i="275"/>
  <c r="G63" i="275"/>
  <c r="B63" i="275"/>
  <c r="D63" i="275"/>
  <c r="E63" i="275"/>
  <c r="A64" i="275"/>
  <c r="H62" i="275"/>
  <c r="B56" i="273"/>
  <c r="C56" i="273"/>
  <c r="D56" i="273"/>
  <c r="E56" i="273"/>
  <c r="A57" i="273"/>
  <c r="F55" i="273"/>
  <c r="B56" i="272"/>
  <c r="C56" i="272"/>
  <c r="E56" i="272"/>
  <c r="D56" i="272"/>
  <c r="A57" i="272"/>
  <c r="F55" i="272"/>
  <c r="F55" i="266"/>
  <c r="H55" i="266" s="1"/>
  <c r="AD57" i="156"/>
  <c r="B56" i="266"/>
  <c r="E56" i="266"/>
  <c r="C56" i="266"/>
  <c r="D56" i="266"/>
  <c r="A57" i="266"/>
  <c r="G56" i="266"/>
  <c r="E56" i="265"/>
  <c r="B56" i="265"/>
  <c r="C56" i="265"/>
  <c r="D56" i="265"/>
  <c r="G56" i="265"/>
  <c r="A57" i="265"/>
  <c r="F55" i="265"/>
  <c r="H55" i="265" s="1"/>
  <c r="E56" i="264"/>
  <c r="D56" i="264"/>
  <c r="B56" i="264"/>
  <c r="F56" i="264" s="1"/>
  <c r="H56" i="264" s="1"/>
  <c r="C56" i="264"/>
  <c r="G56" i="264"/>
  <c r="A57" i="264"/>
  <c r="AB58" i="260"/>
  <c r="AA58" i="260"/>
  <c r="AD58" i="260" s="1"/>
  <c r="Z59" i="260"/>
  <c r="AC58" i="260"/>
  <c r="D66" i="253"/>
  <c r="E66" i="253"/>
  <c r="B66" i="253"/>
  <c r="C66" i="253"/>
  <c r="A67" i="253"/>
  <c r="F65" i="253"/>
  <c r="B56" i="252"/>
  <c r="C56" i="252"/>
  <c r="D56" i="252"/>
  <c r="A57" i="252"/>
  <c r="G56" i="252"/>
  <c r="E55" i="252"/>
  <c r="F55" i="252"/>
  <c r="H55" i="252"/>
  <c r="I55" i="252"/>
  <c r="C56" i="251"/>
  <c r="B56" i="251"/>
  <c r="A57" i="251"/>
  <c r="D56" i="251"/>
  <c r="G56" i="251"/>
  <c r="J54" i="251"/>
  <c r="E55" i="251"/>
  <c r="F55" i="251"/>
  <c r="J55" i="251" s="1"/>
  <c r="H55" i="251"/>
  <c r="I55" i="251"/>
  <c r="AB58" i="210"/>
  <c r="AA58" i="210"/>
  <c r="AD58" i="210" s="1"/>
  <c r="AC58" i="210"/>
  <c r="Z59" i="210"/>
  <c r="N59" i="164"/>
  <c r="M59" i="164"/>
  <c r="O59" i="164" s="1"/>
  <c r="L60" i="164"/>
  <c r="AB58" i="156"/>
  <c r="AA58" i="156"/>
  <c r="Z59" i="156"/>
  <c r="AC58" i="156"/>
  <c r="E64" i="275" l="1"/>
  <c r="F64" i="275"/>
  <c r="B64" i="275"/>
  <c r="C64" i="275"/>
  <c r="G64" i="275"/>
  <c r="D64" i="275"/>
  <c r="A65" i="275"/>
  <c r="H63" i="275"/>
  <c r="B57" i="273"/>
  <c r="C57" i="273"/>
  <c r="D57" i="273"/>
  <c r="E57" i="273"/>
  <c r="A58" i="273"/>
  <c r="F56" i="273"/>
  <c r="E57" i="272"/>
  <c r="A58" i="272"/>
  <c r="B57" i="272"/>
  <c r="C57" i="272"/>
  <c r="D57" i="272"/>
  <c r="F56" i="272"/>
  <c r="J55" i="252"/>
  <c r="AD58" i="156"/>
  <c r="C57" i="266"/>
  <c r="E57" i="266"/>
  <c r="B57" i="266"/>
  <c r="D57" i="266"/>
  <c r="G57" i="266"/>
  <c r="A58" i="266"/>
  <c r="F56" i="266"/>
  <c r="H56" i="266" s="1"/>
  <c r="C57" i="265"/>
  <c r="D57" i="265"/>
  <c r="E57" i="265"/>
  <c r="B57" i="265"/>
  <c r="F57" i="265" s="1"/>
  <c r="H57" i="265" s="1"/>
  <c r="A58" i="265"/>
  <c r="G57" i="265"/>
  <c r="F56" i="265"/>
  <c r="H56" i="265" s="1"/>
  <c r="D57" i="264"/>
  <c r="E57" i="264"/>
  <c r="B57" i="264"/>
  <c r="C57" i="264"/>
  <c r="A58" i="264"/>
  <c r="G57" i="264"/>
  <c r="AA59" i="260"/>
  <c r="AB59" i="260"/>
  <c r="Z60" i="260"/>
  <c r="AC59" i="260"/>
  <c r="C67" i="253"/>
  <c r="B67" i="253"/>
  <c r="F67" i="253" s="1"/>
  <c r="D67" i="253"/>
  <c r="E67" i="253"/>
  <c r="A68" i="253"/>
  <c r="F66" i="253"/>
  <c r="B57" i="252"/>
  <c r="C57" i="252"/>
  <c r="D57" i="252"/>
  <c r="A58" i="252"/>
  <c r="G57" i="252"/>
  <c r="E56" i="252"/>
  <c r="F56" i="252"/>
  <c r="H56" i="252"/>
  <c r="I56" i="252"/>
  <c r="B57" i="251"/>
  <c r="C57" i="251"/>
  <c r="A58" i="251"/>
  <c r="G57" i="251"/>
  <c r="D57" i="251"/>
  <c r="E56" i="251"/>
  <c r="F56" i="251"/>
  <c r="J56" i="251" s="1"/>
  <c r="H56" i="251"/>
  <c r="I56" i="251"/>
  <c r="AB59" i="210"/>
  <c r="AA59" i="210"/>
  <c r="AC59" i="210"/>
  <c r="Z60" i="210"/>
  <c r="M60" i="164"/>
  <c r="O60" i="164" s="1"/>
  <c r="L61" i="164"/>
  <c r="N60" i="164"/>
  <c r="AB59" i="156"/>
  <c r="AA59" i="156"/>
  <c r="Z60" i="156"/>
  <c r="AC59" i="156"/>
  <c r="B65" i="275" l="1"/>
  <c r="F65" i="275"/>
  <c r="G65" i="275"/>
  <c r="D65" i="275"/>
  <c r="C65" i="275"/>
  <c r="E65" i="275"/>
  <c r="A66" i="275"/>
  <c r="H64" i="275"/>
  <c r="B58" i="273"/>
  <c r="C58" i="273"/>
  <c r="D58" i="273"/>
  <c r="E58" i="273"/>
  <c r="A59" i="273"/>
  <c r="F57" i="273"/>
  <c r="A59" i="272"/>
  <c r="D58" i="272"/>
  <c r="E58" i="272"/>
  <c r="B58" i="272"/>
  <c r="C58" i="272"/>
  <c r="F57" i="272"/>
  <c r="F57" i="266"/>
  <c r="H57" i="266" s="1"/>
  <c r="J56" i="252"/>
  <c r="AD59" i="156"/>
  <c r="D58" i="266"/>
  <c r="E58" i="266"/>
  <c r="B58" i="266"/>
  <c r="C58" i="266"/>
  <c r="A59" i="266"/>
  <c r="G58" i="266"/>
  <c r="E58" i="265"/>
  <c r="D58" i="265"/>
  <c r="B58" i="265"/>
  <c r="C58" i="265"/>
  <c r="G58" i="265"/>
  <c r="A59" i="265"/>
  <c r="D58" i="264"/>
  <c r="E58" i="264"/>
  <c r="B58" i="264"/>
  <c r="C58" i="264"/>
  <c r="A59" i="264"/>
  <c r="G58" i="264"/>
  <c r="F57" i="264"/>
  <c r="H57" i="264" s="1"/>
  <c r="AB60" i="260"/>
  <c r="AA60" i="260"/>
  <c r="AD60" i="260" s="1"/>
  <c r="Z61" i="260"/>
  <c r="AC60" i="260"/>
  <c r="AD59" i="260"/>
  <c r="B68" i="253"/>
  <c r="E68" i="253"/>
  <c r="D68" i="253"/>
  <c r="C68" i="253"/>
  <c r="A69" i="253"/>
  <c r="B58" i="252"/>
  <c r="C58" i="252"/>
  <c r="A59" i="252"/>
  <c r="D58" i="252"/>
  <c r="G58" i="252"/>
  <c r="E57" i="252"/>
  <c r="F57" i="252" s="1"/>
  <c r="J57" i="252" s="1"/>
  <c r="H57" i="252"/>
  <c r="I57" i="252"/>
  <c r="B58" i="251"/>
  <c r="C58" i="251"/>
  <c r="G58" i="251"/>
  <c r="D58" i="251"/>
  <c r="A59" i="251"/>
  <c r="H57" i="251"/>
  <c r="I57" i="251"/>
  <c r="E57" i="251"/>
  <c r="F57" i="251"/>
  <c r="J57" i="251" s="1"/>
  <c r="AB60" i="210"/>
  <c r="AA60" i="210"/>
  <c r="AC60" i="210"/>
  <c r="Z61" i="210"/>
  <c r="AD59" i="210"/>
  <c r="N61" i="164"/>
  <c r="M61" i="164"/>
  <c r="O61" i="164" s="1"/>
  <c r="L62" i="164"/>
  <c r="AB60" i="156"/>
  <c r="AA60" i="156"/>
  <c r="AC60" i="156"/>
  <c r="Z61" i="156"/>
  <c r="F66" i="275" l="1"/>
  <c r="B66" i="275"/>
  <c r="G66" i="275"/>
  <c r="E66" i="275"/>
  <c r="C66" i="275"/>
  <c r="D66" i="275"/>
  <c r="A67" i="275"/>
  <c r="H65" i="275"/>
  <c r="B59" i="273"/>
  <c r="C59" i="273"/>
  <c r="D59" i="273"/>
  <c r="E59" i="273"/>
  <c r="A60" i="273"/>
  <c r="F58" i="273"/>
  <c r="C59" i="272"/>
  <c r="D59" i="272"/>
  <c r="B59" i="272"/>
  <c r="A60" i="272"/>
  <c r="E59" i="272"/>
  <c r="F58" i="272"/>
  <c r="F58" i="266"/>
  <c r="H58" i="266" s="1"/>
  <c r="C59" i="266"/>
  <c r="D59" i="266"/>
  <c r="B59" i="266"/>
  <c r="E59" i="266"/>
  <c r="G59" i="266"/>
  <c r="A60" i="266"/>
  <c r="D59" i="265"/>
  <c r="E59" i="265"/>
  <c r="B59" i="265"/>
  <c r="C59" i="265"/>
  <c r="A60" i="265"/>
  <c r="G59" i="265"/>
  <c r="F58" i="265"/>
  <c r="H58" i="265" s="1"/>
  <c r="D59" i="264"/>
  <c r="E59" i="264"/>
  <c r="B59" i="264"/>
  <c r="F59" i="264" s="1"/>
  <c r="H59" i="264" s="1"/>
  <c r="C59" i="264"/>
  <c r="A60" i="264"/>
  <c r="G59" i="264"/>
  <c r="F58" i="264"/>
  <c r="H58" i="264" s="1"/>
  <c r="AA61" i="260"/>
  <c r="AB61" i="260"/>
  <c r="AC61" i="260"/>
  <c r="Z62" i="260"/>
  <c r="C69" i="253"/>
  <c r="E69" i="253"/>
  <c r="B69" i="253"/>
  <c r="D69" i="253"/>
  <c r="A70" i="253"/>
  <c r="F68" i="253"/>
  <c r="B59" i="252"/>
  <c r="C59" i="252"/>
  <c r="D59" i="252"/>
  <c r="G59" i="252"/>
  <c r="A60" i="252"/>
  <c r="E58" i="252"/>
  <c r="F58" i="252"/>
  <c r="H58" i="252"/>
  <c r="I58" i="252"/>
  <c r="B59" i="251"/>
  <c r="C59" i="251"/>
  <c r="G59" i="251"/>
  <c r="A60" i="251"/>
  <c r="D59" i="251"/>
  <c r="H58" i="251"/>
  <c r="I58" i="251"/>
  <c r="E58" i="251"/>
  <c r="F58" i="251"/>
  <c r="J58" i="251" s="1"/>
  <c r="AB61" i="210"/>
  <c r="AA61" i="210"/>
  <c r="AD61" i="210" s="1"/>
  <c r="AC61" i="210"/>
  <c r="Z62" i="210"/>
  <c r="AD60" i="210"/>
  <c r="M62" i="164"/>
  <c r="O62" i="164" s="1"/>
  <c r="L63" i="164"/>
  <c r="N62" i="164"/>
  <c r="AA61" i="156"/>
  <c r="AB61" i="156"/>
  <c r="AC61" i="156"/>
  <c r="Z62" i="156"/>
  <c r="AD60" i="156"/>
  <c r="F67" i="275" l="1"/>
  <c r="G67" i="275"/>
  <c r="E67" i="275"/>
  <c r="B67" i="275"/>
  <c r="C67" i="275"/>
  <c r="D67" i="275"/>
  <c r="A68" i="275"/>
  <c r="H66" i="275"/>
  <c r="B60" i="273"/>
  <c r="C60" i="273"/>
  <c r="D60" i="273"/>
  <c r="E60" i="273"/>
  <c r="A61" i="273"/>
  <c r="F59" i="273"/>
  <c r="C60" i="272"/>
  <c r="E60" i="272"/>
  <c r="B60" i="272"/>
  <c r="D60" i="272"/>
  <c r="A61" i="272"/>
  <c r="F59" i="272"/>
  <c r="J58" i="252"/>
  <c r="C60" i="266"/>
  <c r="E60" i="266"/>
  <c r="D60" i="266"/>
  <c r="B60" i="266"/>
  <c r="A61" i="266"/>
  <c r="G60" i="266"/>
  <c r="F59" i="266"/>
  <c r="H59" i="266" s="1"/>
  <c r="D60" i="265"/>
  <c r="B60" i="265"/>
  <c r="F60" i="265" s="1"/>
  <c r="H60" i="265" s="1"/>
  <c r="E60" i="265"/>
  <c r="C60" i="265"/>
  <c r="A61" i="265"/>
  <c r="G60" i="265"/>
  <c r="F59" i="265"/>
  <c r="H59" i="265" s="1"/>
  <c r="B60" i="264"/>
  <c r="E60" i="264"/>
  <c r="D60" i="264"/>
  <c r="C60" i="264"/>
  <c r="A61" i="264"/>
  <c r="G60" i="264"/>
  <c r="AB62" i="260"/>
  <c r="AA62" i="260"/>
  <c r="AD62" i="260" s="1"/>
  <c r="AC62" i="260"/>
  <c r="Z63" i="260"/>
  <c r="AD61" i="260"/>
  <c r="D70" i="253"/>
  <c r="C70" i="253"/>
  <c r="B70" i="253"/>
  <c r="E70" i="253"/>
  <c r="A71" i="253"/>
  <c r="F69" i="253"/>
  <c r="B60" i="252"/>
  <c r="C60" i="252"/>
  <c r="D60" i="252"/>
  <c r="A61" i="252"/>
  <c r="G60" i="252"/>
  <c r="E59" i="252"/>
  <c r="F59" i="252"/>
  <c r="H59" i="252"/>
  <c r="I59" i="252"/>
  <c r="C60" i="251"/>
  <c r="B60" i="251"/>
  <c r="G60" i="251"/>
  <c r="D60" i="251"/>
  <c r="A61" i="251"/>
  <c r="H59" i="251"/>
  <c r="I59" i="251"/>
  <c r="E59" i="251"/>
  <c r="F59" i="251"/>
  <c r="J59" i="251" s="1"/>
  <c r="AB62" i="210"/>
  <c r="AA62" i="210"/>
  <c r="AC62" i="210"/>
  <c r="Z63" i="210"/>
  <c r="M63" i="164"/>
  <c r="O63" i="164" s="1"/>
  <c r="L64" i="164"/>
  <c r="N63" i="164"/>
  <c r="AA62" i="156"/>
  <c r="AB62" i="156"/>
  <c r="Z63" i="156"/>
  <c r="AC62" i="156"/>
  <c r="AD61" i="156"/>
  <c r="E68" i="275" l="1"/>
  <c r="G68" i="275"/>
  <c r="F68" i="275"/>
  <c r="B68" i="275"/>
  <c r="C68" i="275"/>
  <c r="D68" i="275"/>
  <c r="A69" i="275"/>
  <c r="H67" i="275"/>
  <c r="B61" i="273"/>
  <c r="C61" i="273"/>
  <c r="D61" i="273"/>
  <c r="E61" i="273"/>
  <c r="A62" i="273"/>
  <c r="F60" i="273"/>
  <c r="E61" i="272"/>
  <c r="A62" i="272"/>
  <c r="B61" i="272"/>
  <c r="C61" i="272"/>
  <c r="D61" i="272"/>
  <c r="F60" i="272"/>
  <c r="J59" i="252"/>
  <c r="C61" i="266"/>
  <c r="D61" i="266"/>
  <c r="B61" i="266"/>
  <c r="E61" i="266"/>
  <c r="A62" i="266"/>
  <c r="G61" i="266"/>
  <c r="F60" i="266"/>
  <c r="H60" i="266" s="1"/>
  <c r="B61" i="265"/>
  <c r="D61" i="265"/>
  <c r="E61" i="265"/>
  <c r="C61" i="265"/>
  <c r="A62" i="265"/>
  <c r="G61" i="265"/>
  <c r="D61" i="264"/>
  <c r="E61" i="264"/>
  <c r="B61" i="264"/>
  <c r="F61" i="264" s="1"/>
  <c r="H61" i="264" s="1"/>
  <c r="C61" i="264"/>
  <c r="A62" i="264"/>
  <c r="G61" i="264"/>
  <c r="F60" i="264"/>
  <c r="H60" i="264" s="1"/>
  <c r="AB63" i="260"/>
  <c r="AA63" i="260"/>
  <c r="AD63" i="260" s="1"/>
  <c r="AC63" i="260"/>
  <c r="Z64" i="260"/>
  <c r="D71" i="253"/>
  <c r="E71" i="253"/>
  <c r="B71" i="253"/>
  <c r="C71" i="253"/>
  <c r="A72" i="253"/>
  <c r="F70" i="253"/>
  <c r="B61" i="252"/>
  <c r="C61" i="252"/>
  <c r="D61" i="252"/>
  <c r="A62" i="252"/>
  <c r="G61" i="252"/>
  <c r="E60" i="252"/>
  <c r="F60" i="252"/>
  <c r="H60" i="252"/>
  <c r="I60" i="252"/>
  <c r="B61" i="251"/>
  <c r="C61" i="251"/>
  <c r="F61" i="251"/>
  <c r="G61" i="251"/>
  <c r="D61" i="251"/>
  <c r="E61" i="251" s="1"/>
  <c r="A62" i="251"/>
  <c r="H60" i="251"/>
  <c r="I60" i="251"/>
  <c r="E60" i="251"/>
  <c r="F60" i="251"/>
  <c r="AB63" i="210"/>
  <c r="AA63" i="210"/>
  <c r="AD63" i="210" s="1"/>
  <c r="AC63" i="210"/>
  <c r="Z64" i="210"/>
  <c r="AD62" i="210"/>
  <c r="N64" i="164"/>
  <c r="L65" i="164"/>
  <c r="M64" i="164"/>
  <c r="O64" i="164" s="1"/>
  <c r="AB63" i="156"/>
  <c r="AA63" i="156"/>
  <c r="Z64" i="156"/>
  <c r="AC63" i="156"/>
  <c r="AD62" i="156"/>
  <c r="E69" i="275" l="1"/>
  <c r="C69" i="275"/>
  <c r="B69" i="275"/>
  <c r="D69" i="275"/>
  <c r="F69" i="275"/>
  <c r="G69" i="275"/>
  <c r="A70" i="275"/>
  <c r="H68" i="275"/>
  <c r="B62" i="273"/>
  <c r="C62" i="273"/>
  <c r="D62" i="273"/>
  <c r="E62" i="273"/>
  <c r="A63" i="273"/>
  <c r="F61" i="273"/>
  <c r="B62" i="272"/>
  <c r="D62" i="272"/>
  <c r="C62" i="272"/>
  <c r="A63" i="272"/>
  <c r="E62" i="272"/>
  <c r="F61" i="272"/>
  <c r="F61" i="266"/>
  <c r="H61" i="266" s="1"/>
  <c r="J60" i="252"/>
  <c r="D62" i="266"/>
  <c r="C62" i="266"/>
  <c r="E62" i="266"/>
  <c r="B62" i="266"/>
  <c r="A63" i="266"/>
  <c r="G62" i="266"/>
  <c r="C62" i="265"/>
  <c r="B62" i="265"/>
  <c r="D62" i="265"/>
  <c r="E62" i="265"/>
  <c r="A63" i="265"/>
  <c r="G62" i="265"/>
  <c r="F61" i="265"/>
  <c r="H61" i="265" s="1"/>
  <c r="B62" i="264"/>
  <c r="D62" i="264"/>
  <c r="E62" i="264"/>
  <c r="C62" i="264"/>
  <c r="A63" i="264"/>
  <c r="G62" i="264"/>
  <c r="AB64" i="260"/>
  <c r="AA64" i="260"/>
  <c r="AD64" i="260" s="1"/>
  <c r="AC64" i="260"/>
  <c r="Z65" i="260"/>
  <c r="E72" i="253"/>
  <c r="B72" i="253"/>
  <c r="C72" i="253"/>
  <c r="D72" i="253"/>
  <c r="A73" i="253"/>
  <c r="F71" i="253"/>
  <c r="B62" i="252"/>
  <c r="C62" i="252"/>
  <c r="A63" i="252"/>
  <c r="D62" i="252"/>
  <c r="G62" i="252"/>
  <c r="E61" i="252"/>
  <c r="F61" i="252"/>
  <c r="H61" i="252"/>
  <c r="I61" i="252"/>
  <c r="C62" i="251"/>
  <c r="B62" i="251"/>
  <c r="G62" i="251"/>
  <c r="D62" i="251"/>
  <c r="A63" i="251"/>
  <c r="J60" i="251"/>
  <c r="H61" i="251"/>
  <c r="I61" i="251"/>
  <c r="J61" i="251" s="1"/>
  <c r="AA64" i="210"/>
  <c r="AB64" i="210"/>
  <c r="AC64" i="210"/>
  <c r="Z65" i="210"/>
  <c r="N65" i="164"/>
  <c r="M65" i="164"/>
  <c r="O65" i="164" s="1"/>
  <c r="L66" i="164"/>
  <c r="AB64" i="156"/>
  <c r="AA64" i="156"/>
  <c r="AC64" i="156"/>
  <c r="Z65" i="156"/>
  <c r="AD63" i="156"/>
  <c r="G70" i="275" l="1"/>
  <c r="B70" i="275"/>
  <c r="C70" i="275"/>
  <c r="E70" i="275"/>
  <c r="F70" i="275"/>
  <c r="D70" i="275"/>
  <c r="A71" i="275"/>
  <c r="H69" i="275"/>
  <c r="B63" i="273"/>
  <c r="C63" i="273"/>
  <c r="D63" i="273"/>
  <c r="E63" i="273"/>
  <c r="A64" i="273"/>
  <c r="F62" i="273"/>
  <c r="E63" i="272"/>
  <c r="D63" i="272"/>
  <c r="B63" i="272"/>
  <c r="A64" i="272"/>
  <c r="C63" i="272"/>
  <c r="F62" i="272"/>
  <c r="F62" i="266"/>
  <c r="H62" i="266" s="1"/>
  <c r="J61" i="252"/>
  <c r="AD64" i="156"/>
  <c r="B63" i="266"/>
  <c r="E63" i="266"/>
  <c r="D63" i="266"/>
  <c r="C63" i="266"/>
  <c r="G63" i="266"/>
  <c r="A64" i="266"/>
  <c r="D63" i="265"/>
  <c r="E63" i="265"/>
  <c r="C63" i="265"/>
  <c r="B63" i="265"/>
  <c r="F63" i="265" s="1"/>
  <c r="H63" i="265" s="1"/>
  <c r="G63" i="265"/>
  <c r="A64" i="265"/>
  <c r="F62" i="265"/>
  <c r="H62" i="265" s="1"/>
  <c r="D63" i="264"/>
  <c r="E63" i="264"/>
  <c r="B63" i="264"/>
  <c r="F63" i="264" s="1"/>
  <c r="H63" i="264" s="1"/>
  <c r="C63" i="264"/>
  <c r="A64" i="264"/>
  <c r="G63" i="264"/>
  <c r="F62" i="264"/>
  <c r="H62" i="264" s="1"/>
  <c r="AB65" i="260"/>
  <c r="AA65" i="260"/>
  <c r="AC65" i="260"/>
  <c r="Z66" i="260"/>
  <c r="E73" i="253"/>
  <c r="D73" i="253"/>
  <c r="B73" i="253"/>
  <c r="C73" i="253"/>
  <c r="A74" i="253"/>
  <c r="F72" i="253"/>
  <c r="B63" i="252"/>
  <c r="C63" i="252"/>
  <c r="D63" i="252"/>
  <c r="G63" i="252"/>
  <c r="A64" i="252"/>
  <c r="E62" i="252"/>
  <c r="F62" i="252"/>
  <c r="H62" i="252"/>
  <c r="I62" i="252"/>
  <c r="C63" i="251"/>
  <c r="B63" i="251"/>
  <c r="D63" i="251"/>
  <c r="G63" i="251"/>
  <c r="A64" i="251"/>
  <c r="H62" i="251"/>
  <c r="I62" i="251"/>
  <c r="E62" i="251"/>
  <c r="F62" i="251"/>
  <c r="AB65" i="210"/>
  <c r="AA65" i="210"/>
  <c r="AD65" i="210" s="1"/>
  <c r="AC65" i="210"/>
  <c r="Z66" i="210"/>
  <c r="AD64" i="210"/>
  <c r="L67" i="164"/>
  <c r="M66" i="164"/>
  <c r="O66" i="164" s="1"/>
  <c r="N66" i="164"/>
  <c r="AB65" i="156"/>
  <c r="AA65" i="156"/>
  <c r="Z66" i="156"/>
  <c r="AC65" i="156"/>
  <c r="E71" i="275" l="1"/>
  <c r="F71" i="275"/>
  <c r="B71" i="275"/>
  <c r="C71" i="275"/>
  <c r="D71" i="275"/>
  <c r="G71" i="275"/>
  <c r="A72" i="275"/>
  <c r="H70" i="275"/>
  <c r="B64" i="273"/>
  <c r="C64" i="273"/>
  <c r="D64" i="273"/>
  <c r="E64" i="273"/>
  <c r="A65" i="273"/>
  <c r="F63" i="273"/>
  <c r="E64" i="272"/>
  <c r="B64" i="272"/>
  <c r="D64" i="272"/>
  <c r="A65" i="272"/>
  <c r="C64" i="272"/>
  <c r="F63" i="272"/>
  <c r="J62" i="252"/>
  <c r="AD65" i="156"/>
  <c r="B64" i="266"/>
  <c r="C64" i="266"/>
  <c r="D64" i="266"/>
  <c r="E64" i="266"/>
  <c r="G64" i="266"/>
  <c r="A65" i="266"/>
  <c r="F63" i="266"/>
  <c r="H63" i="266" s="1"/>
  <c r="E64" i="265"/>
  <c r="D64" i="265"/>
  <c r="B64" i="265"/>
  <c r="F64" i="265" s="1"/>
  <c r="H64" i="265" s="1"/>
  <c r="C64" i="265"/>
  <c r="G64" i="265"/>
  <c r="A65" i="265"/>
  <c r="E64" i="264"/>
  <c r="D64" i="264"/>
  <c r="B64" i="264"/>
  <c r="C64" i="264"/>
  <c r="G64" i="264"/>
  <c r="A65" i="264"/>
  <c r="AB66" i="260"/>
  <c r="AA66" i="260"/>
  <c r="AD66" i="260" s="1"/>
  <c r="Z67" i="260"/>
  <c r="AC66" i="260"/>
  <c r="AD65" i="260"/>
  <c r="D74" i="253"/>
  <c r="B74" i="253"/>
  <c r="F74" i="253" s="1"/>
  <c r="C74" i="253"/>
  <c r="E74" i="253"/>
  <c r="A75" i="253"/>
  <c r="F73" i="253"/>
  <c r="B64" i="252"/>
  <c r="C64" i="252"/>
  <c r="G64" i="252"/>
  <c r="D64" i="252"/>
  <c r="A65" i="252"/>
  <c r="E63" i="252"/>
  <c r="F63" i="252"/>
  <c r="H63" i="252"/>
  <c r="I63" i="252"/>
  <c r="B64" i="251"/>
  <c r="C64" i="251"/>
  <c r="G64" i="251"/>
  <c r="D64" i="251"/>
  <c r="A65" i="251"/>
  <c r="J62" i="251"/>
  <c r="E63" i="251"/>
  <c r="F63" i="251"/>
  <c r="J63" i="251" s="1"/>
  <c r="H63" i="251"/>
  <c r="I63" i="251"/>
  <c r="AA66" i="210"/>
  <c r="AB66" i="210"/>
  <c r="AC66" i="210"/>
  <c r="Z67" i="210"/>
  <c r="M67" i="164"/>
  <c r="O67" i="164" s="1"/>
  <c r="L68" i="164"/>
  <c r="N67" i="164"/>
  <c r="AA66" i="156"/>
  <c r="AB66" i="156"/>
  <c r="AC66" i="156"/>
  <c r="Z67" i="156"/>
  <c r="B72" i="275" l="1"/>
  <c r="G72" i="275"/>
  <c r="E72" i="275"/>
  <c r="F72" i="275"/>
  <c r="C72" i="275"/>
  <c r="D72" i="275"/>
  <c r="A73" i="275"/>
  <c r="H71" i="275"/>
  <c r="C65" i="273"/>
  <c r="D65" i="273"/>
  <c r="E65" i="273"/>
  <c r="B65" i="273"/>
  <c r="A66" i="273"/>
  <c r="F64" i="273"/>
  <c r="B65" i="272"/>
  <c r="C65" i="272"/>
  <c r="D65" i="272"/>
  <c r="E65" i="272"/>
  <c r="A66" i="272"/>
  <c r="F64" i="272"/>
  <c r="AD66" i="156"/>
  <c r="B65" i="266"/>
  <c r="D65" i="266"/>
  <c r="C65" i="266"/>
  <c r="E65" i="266"/>
  <c r="A66" i="266"/>
  <c r="G65" i="266"/>
  <c r="F64" i="266"/>
  <c r="H64" i="266" s="1"/>
  <c r="B65" i="265"/>
  <c r="E65" i="265"/>
  <c r="C65" i="265"/>
  <c r="D65" i="265"/>
  <c r="G65" i="265"/>
  <c r="A66" i="265"/>
  <c r="B65" i="264"/>
  <c r="D65" i="264"/>
  <c r="E65" i="264"/>
  <c r="C65" i="264"/>
  <c r="A66" i="264"/>
  <c r="G65" i="264"/>
  <c r="F64" i="264"/>
  <c r="H64" i="264" s="1"/>
  <c r="AA67" i="260"/>
  <c r="AD67" i="260" s="1"/>
  <c r="AB67" i="260"/>
  <c r="Z68" i="260"/>
  <c r="AC67" i="260"/>
  <c r="B75" i="253"/>
  <c r="C75" i="253"/>
  <c r="D75" i="253"/>
  <c r="E75" i="253"/>
  <c r="A76" i="253"/>
  <c r="B65" i="252"/>
  <c r="C65" i="252"/>
  <c r="G65" i="252"/>
  <c r="D65" i="252"/>
  <c r="A66" i="252"/>
  <c r="J63" i="252"/>
  <c r="H64" i="252"/>
  <c r="I64" i="252"/>
  <c r="E64" i="252"/>
  <c r="F64" i="252"/>
  <c r="J64" i="252" s="1"/>
  <c r="B65" i="251"/>
  <c r="C65" i="251"/>
  <c r="G65" i="251"/>
  <c r="A66" i="251"/>
  <c r="D65" i="251"/>
  <c r="H64" i="251"/>
  <c r="I64" i="251"/>
  <c r="E64" i="251"/>
  <c r="F64" i="251"/>
  <c r="J64" i="251" s="1"/>
  <c r="AA67" i="210"/>
  <c r="AB67" i="210"/>
  <c r="AC67" i="210"/>
  <c r="Z68" i="210"/>
  <c r="AD66" i="210"/>
  <c r="L69" i="164"/>
  <c r="N68" i="164"/>
  <c r="M68" i="164"/>
  <c r="O68" i="164" s="1"/>
  <c r="AB67" i="156"/>
  <c r="AA67" i="156"/>
  <c r="AC67" i="156"/>
  <c r="Z68" i="156"/>
  <c r="F73" i="275" l="1"/>
  <c r="G73" i="275"/>
  <c r="B73" i="275"/>
  <c r="C73" i="275"/>
  <c r="D73" i="275"/>
  <c r="E73" i="275"/>
  <c r="A74" i="275"/>
  <c r="H72" i="275"/>
  <c r="F65" i="273"/>
  <c r="C66" i="273"/>
  <c r="B66" i="273"/>
  <c r="E66" i="273"/>
  <c r="D66" i="273"/>
  <c r="A67" i="273"/>
  <c r="B66" i="272"/>
  <c r="C66" i="272"/>
  <c r="D66" i="272"/>
  <c r="E66" i="272"/>
  <c r="A67" i="272"/>
  <c r="F65" i="272"/>
  <c r="D66" i="266"/>
  <c r="E66" i="266"/>
  <c r="C66" i="266"/>
  <c r="B66" i="266"/>
  <c r="A67" i="266"/>
  <c r="G66" i="266"/>
  <c r="F65" i="266"/>
  <c r="H65" i="266" s="1"/>
  <c r="C66" i="265"/>
  <c r="E66" i="265"/>
  <c r="B66" i="265"/>
  <c r="D66" i="265"/>
  <c r="A67" i="265"/>
  <c r="G66" i="265"/>
  <c r="F65" i="265"/>
  <c r="H65" i="265" s="1"/>
  <c r="D66" i="264"/>
  <c r="E66" i="264"/>
  <c r="B66" i="264"/>
  <c r="F66" i="264" s="1"/>
  <c r="H66" i="264" s="1"/>
  <c r="C66" i="264"/>
  <c r="A67" i="264"/>
  <c r="G66" i="264"/>
  <c r="F65" i="264"/>
  <c r="H65" i="264" s="1"/>
  <c r="AA68" i="260"/>
  <c r="AB68" i="260"/>
  <c r="AC68" i="260"/>
  <c r="Z69" i="260"/>
  <c r="C76" i="253"/>
  <c r="B76" i="253"/>
  <c r="D76" i="253"/>
  <c r="E76" i="253"/>
  <c r="A77" i="253"/>
  <c r="F75" i="253"/>
  <c r="B66" i="252"/>
  <c r="C66" i="252"/>
  <c r="D66" i="252"/>
  <c r="G66" i="252"/>
  <c r="A67" i="252"/>
  <c r="H65" i="252"/>
  <c r="I65" i="252"/>
  <c r="E65" i="252"/>
  <c r="F65" i="252"/>
  <c r="J65" i="252" s="1"/>
  <c r="C66" i="251"/>
  <c r="B66" i="251"/>
  <c r="A67" i="251"/>
  <c r="G66" i="251"/>
  <c r="D66" i="251"/>
  <c r="H65" i="251"/>
  <c r="I65" i="251"/>
  <c r="E65" i="251"/>
  <c r="F65" i="251"/>
  <c r="J65" i="251" s="1"/>
  <c r="AA68" i="210"/>
  <c r="AB68" i="210"/>
  <c r="AC68" i="210"/>
  <c r="Z69" i="210"/>
  <c r="AD67" i="210"/>
  <c r="N69" i="164"/>
  <c r="M69" i="164"/>
  <c r="O69" i="164" s="1"/>
  <c r="L70" i="164"/>
  <c r="AB68" i="156"/>
  <c r="AA68" i="156"/>
  <c r="Z69" i="156"/>
  <c r="AC68" i="156"/>
  <c r="AD67" i="156"/>
  <c r="B74" i="275" l="1"/>
  <c r="E74" i="275"/>
  <c r="F74" i="275"/>
  <c r="G74" i="275"/>
  <c r="C74" i="275"/>
  <c r="D74" i="275"/>
  <c r="A75" i="275"/>
  <c r="H73" i="275"/>
  <c r="B67" i="273"/>
  <c r="E67" i="273"/>
  <c r="D67" i="273"/>
  <c r="C67" i="273"/>
  <c r="A68" i="273"/>
  <c r="F66" i="273"/>
  <c r="B67" i="272"/>
  <c r="C67" i="272"/>
  <c r="D67" i="272"/>
  <c r="E67" i="272"/>
  <c r="A68" i="272"/>
  <c r="F66" i="272"/>
  <c r="B67" i="266"/>
  <c r="E67" i="266"/>
  <c r="D67" i="266"/>
  <c r="C67" i="266"/>
  <c r="G67" i="266"/>
  <c r="A68" i="266"/>
  <c r="F66" i="266"/>
  <c r="H66" i="266" s="1"/>
  <c r="D67" i="265"/>
  <c r="C67" i="265"/>
  <c r="E67" i="265"/>
  <c r="B67" i="265"/>
  <c r="F67" i="265" s="1"/>
  <c r="H67" i="265" s="1"/>
  <c r="G67" i="265"/>
  <c r="A68" i="265"/>
  <c r="F66" i="265"/>
  <c r="H66" i="265" s="1"/>
  <c r="C67" i="264"/>
  <c r="D67" i="264"/>
  <c r="E67" i="264"/>
  <c r="B67" i="264"/>
  <c r="F67" i="264" s="1"/>
  <c r="A68" i="264"/>
  <c r="G67" i="264"/>
  <c r="AA69" i="260"/>
  <c r="AD69" i="260" s="1"/>
  <c r="AB69" i="260"/>
  <c r="Z70" i="260"/>
  <c r="AC69" i="260"/>
  <c r="AD68" i="260"/>
  <c r="D77" i="253"/>
  <c r="B77" i="253"/>
  <c r="C77" i="253"/>
  <c r="E77" i="253"/>
  <c r="A78" i="253"/>
  <c r="F76" i="253"/>
  <c r="B67" i="252"/>
  <c r="C67" i="252"/>
  <c r="D67" i="252"/>
  <c r="G67" i="252"/>
  <c r="A68" i="252"/>
  <c r="E66" i="252"/>
  <c r="F66" i="252"/>
  <c r="H66" i="252"/>
  <c r="I66" i="252"/>
  <c r="C67" i="251"/>
  <c r="B67" i="251"/>
  <c r="D67" i="251"/>
  <c r="G67" i="251"/>
  <c r="A68" i="251"/>
  <c r="H66" i="251"/>
  <c r="I66" i="251"/>
  <c r="J66" i="251" s="1"/>
  <c r="E66" i="251"/>
  <c r="F66" i="251"/>
  <c r="AA69" i="210"/>
  <c r="AD69" i="210" s="1"/>
  <c r="AB69" i="210"/>
  <c r="AC69" i="210"/>
  <c r="Z70" i="210"/>
  <c r="AD68" i="210"/>
  <c r="M70" i="164"/>
  <c r="O70" i="164" s="1"/>
  <c r="N70" i="164"/>
  <c r="L71" i="164"/>
  <c r="AB69" i="156"/>
  <c r="AA69" i="156"/>
  <c r="AC69" i="156"/>
  <c r="Z70" i="156"/>
  <c r="AD68" i="156"/>
  <c r="G75" i="275" l="1"/>
  <c r="C75" i="275"/>
  <c r="D75" i="275"/>
  <c r="E75" i="275"/>
  <c r="B75" i="275"/>
  <c r="F75" i="275"/>
  <c r="A76" i="275"/>
  <c r="H74" i="275"/>
  <c r="E68" i="273"/>
  <c r="B68" i="273"/>
  <c r="C68" i="273"/>
  <c r="D68" i="273"/>
  <c r="A69" i="273"/>
  <c r="F67" i="273"/>
  <c r="F67" i="272"/>
  <c r="B68" i="272"/>
  <c r="C68" i="272"/>
  <c r="D68" i="272"/>
  <c r="E68" i="272"/>
  <c r="A69" i="272"/>
  <c r="F67" i="266"/>
  <c r="H67" i="266" s="1"/>
  <c r="AD69" i="156"/>
  <c r="B68" i="266"/>
  <c r="C68" i="266"/>
  <c r="E68" i="266"/>
  <c r="D68" i="266"/>
  <c r="A69" i="266"/>
  <c r="G68" i="266"/>
  <c r="E68" i="265"/>
  <c r="D68" i="265"/>
  <c r="B68" i="265"/>
  <c r="C68" i="265"/>
  <c r="G68" i="265"/>
  <c r="A69" i="265"/>
  <c r="E68" i="264"/>
  <c r="D68" i="264"/>
  <c r="C68" i="264"/>
  <c r="B68" i="264"/>
  <c r="A69" i="264"/>
  <c r="G68" i="264"/>
  <c r="H67" i="264"/>
  <c r="AB70" i="260"/>
  <c r="AA70" i="260"/>
  <c r="AD70" i="260" s="1"/>
  <c r="Z71" i="260"/>
  <c r="AC70" i="260"/>
  <c r="C78" i="253"/>
  <c r="B78" i="253"/>
  <c r="D78" i="253"/>
  <c r="E78" i="253"/>
  <c r="A79" i="253"/>
  <c r="F77" i="253"/>
  <c r="B68" i="252"/>
  <c r="C68" i="252"/>
  <c r="D68" i="252"/>
  <c r="G68" i="252"/>
  <c r="A69" i="252"/>
  <c r="J66" i="252"/>
  <c r="E67" i="252"/>
  <c r="F67" i="252"/>
  <c r="H67" i="252"/>
  <c r="I67" i="252"/>
  <c r="B68" i="251"/>
  <c r="C68" i="251"/>
  <c r="D68" i="251"/>
  <c r="G68" i="251"/>
  <c r="A69" i="251"/>
  <c r="E67" i="251"/>
  <c r="F67" i="251"/>
  <c r="J67" i="251" s="1"/>
  <c r="H67" i="251"/>
  <c r="I67" i="251"/>
  <c r="AB70" i="210"/>
  <c r="AA70" i="210"/>
  <c r="AD70" i="210" s="1"/>
  <c r="AC70" i="210"/>
  <c r="Z71" i="210"/>
  <c r="M71" i="164"/>
  <c r="O71" i="164" s="1"/>
  <c r="N71" i="164"/>
  <c r="L72" i="164"/>
  <c r="AB70" i="156"/>
  <c r="AA70" i="156"/>
  <c r="AC70" i="156"/>
  <c r="Z71" i="156"/>
  <c r="H75" i="275" l="1"/>
  <c r="F76" i="275"/>
  <c r="B76" i="275"/>
  <c r="E76" i="275"/>
  <c r="G76" i="275"/>
  <c r="D76" i="275"/>
  <c r="C76" i="275"/>
  <c r="A77" i="275"/>
  <c r="C69" i="273"/>
  <c r="D69" i="273"/>
  <c r="E69" i="273"/>
  <c r="B69" i="273"/>
  <c r="A70" i="273"/>
  <c r="F68" i="273"/>
  <c r="F68" i="272"/>
  <c r="B69" i="272"/>
  <c r="D69" i="272"/>
  <c r="E69" i="272"/>
  <c r="C69" i="272"/>
  <c r="A70" i="272"/>
  <c r="J67" i="252"/>
  <c r="AD70" i="156"/>
  <c r="D69" i="266"/>
  <c r="E69" i="266"/>
  <c r="B69" i="266"/>
  <c r="C69" i="266"/>
  <c r="G69" i="266"/>
  <c r="A70" i="266"/>
  <c r="F68" i="266"/>
  <c r="H68" i="266" s="1"/>
  <c r="C69" i="265"/>
  <c r="E69" i="265"/>
  <c r="B69" i="265"/>
  <c r="F69" i="265" s="1"/>
  <c r="H69" i="265" s="1"/>
  <c r="D69" i="265"/>
  <c r="G69" i="265"/>
  <c r="A70" i="265"/>
  <c r="F68" i="265"/>
  <c r="H68" i="265" s="1"/>
  <c r="E69" i="264"/>
  <c r="D69" i="264"/>
  <c r="B69" i="264"/>
  <c r="C69" i="264"/>
  <c r="G69" i="264"/>
  <c r="A70" i="264"/>
  <c r="F68" i="264"/>
  <c r="H68" i="264" s="1"/>
  <c r="AB71" i="260"/>
  <c r="AA71" i="260"/>
  <c r="AD71" i="260" s="1"/>
  <c r="AC71" i="260"/>
  <c r="Z72" i="260"/>
  <c r="B79" i="253"/>
  <c r="C79" i="253"/>
  <c r="D79" i="253"/>
  <c r="E79" i="253"/>
  <c r="A80" i="253"/>
  <c r="F78" i="253"/>
  <c r="B69" i="252"/>
  <c r="C69" i="252"/>
  <c r="D69" i="252"/>
  <c r="G69" i="252"/>
  <c r="A70" i="252"/>
  <c r="E68" i="252"/>
  <c r="F68" i="252"/>
  <c r="H68" i="252"/>
  <c r="I68" i="252"/>
  <c r="C69" i="251"/>
  <c r="B69" i="251"/>
  <c r="G69" i="251"/>
  <c r="D69" i="251"/>
  <c r="A70" i="251"/>
  <c r="E68" i="251"/>
  <c r="F68" i="251"/>
  <c r="J68" i="251" s="1"/>
  <c r="H68" i="251"/>
  <c r="I68" i="251"/>
  <c r="AA71" i="210"/>
  <c r="AD71" i="210" s="1"/>
  <c r="AB71" i="210"/>
  <c r="AC71" i="210"/>
  <c r="Z72" i="210"/>
  <c r="M72" i="164"/>
  <c r="O72" i="164" s="1"/>
  <c r="N72" i="164"/>
  <c r="L73" i="164"/>
  <c r="AA71" i="156"/>
  <c r="AB71" i="156"/>
  <c r="Z72" i="156"/>
  <c r="AC71" i="156"/>
  <c r="G77" i="275" l="1"/>
  <c r="B77" i="275"/>
  <c r="F77" i="275"/>
  <c r="C77" i="275"/>
  <c r="D77" i="275"/>
  <c r="E77" i="275"/>
  <c r="A78" i="275"/>
  <c r="H76" i="275"/>
  <c r="F69" i="273"/>
  <c r="D70" i="273"/>
  <c r="C70" i="273"/>
  <c r="E70" i="273"/>
  <c r="B70" i="273"/>
  <c r="A71" i="273"/>
  <c r="D70" i="272"/>
  <c r="E70" i="272"/>
  <c r="B70" i="272"/>
  <c r="C70" i="272"/>
  <c r="A71" i="272"/>
  <c r="F69" i="272"/>
  <c r="F69" i="266"/>
  <c r="H69" i="266" s="1"/>
  <c r="J68" i="252"/>
  <c r="B70" i="266"/>
  <c r="D70" i="266"/>
  <c r="E70" i="266"/>
  <c r="C70" i="266"/>
  <c r="G70" i="266"/>
  <c r="A71" i="266"/>
  <c r="D70" i="265"/>
  <c r="B70" i="265"/>
  <c r="C70" i="265"/>
  <c r="E70" i="265"/>
  <c r="A71" i="265"/>
  <c r="G70" i="265"/>
  <c r="E70" i="264"/>
  <c r="D70" i="264"/>
  <c r="B70" i="264"/>
  <c r="F70" i="264" s="1"/>
  <c r="H70" i="264" s="1"/>
  <c r="C70" i="264"/>
  <c r="A71" i="264"/>
  <c r="G70" i="264"/>
  <c r="F69" i="264"/>
  <c r="H69" i="264" s="1"/>
  <c r="AA72" i="260"/>
  <c r="AB72" i="260"/>
  <c r="AC72" i="260"/>
  <c r="Z73" i="260"/>
  <c r="C80" i="253"/>
  <c r="E80" i="253"/>
  <c r="D80" i="253"/>
  <c r="B80" i="253"/>
  <c r="F80" i="253" s="1"/>
  <c r="A81" i="253"/>
  <c r="F79" i="253"/>
  <c r="B70" i="252"/>
  <c r="C70" i="252"/>
  <c r="D70" i="252"/>
  <c r="A71" i="252"/>
  <c r="G70" i="252"/>
  <c r="E69" i="252"/>
  <c r="F69" i="252"/>
  <c r="J69" i="252" s="1"/>
  <c r="H69" i="252"/>
  <c r="I69" i="252"/>
  <c r="B70" i="251"/>
  <c r="C70" i="251"/>
  <c r="D70" i="251"/>
  <c r="G70" i="251"/>
  <c r="A71" i="251"/>
  <c r="H69" i="251"/>
  <c r="I69" i="251"/>
  <c r="E69" i="251"/>
  <c r="F69" i="251"/>
  <c r="J69" i="251" s="1"/>
  <c r="AA72" i="210"/>
  <c r="AB72" i="210"/>
  <c r="AC72" i="210"/>
  <c r="Z73" i="210"/>
  <c r="M73" i="164"/>
  <c r="O73" i="164" s="1"/>
  <c r="N73" i="164"/>
  <c r="L74" i="164"/>
  <c r="AB72" i="156"/>
  <c r="AA72" i="156"/>
  <c r="Z73" i="156"/>
  <c r="AC72" i="156"/>
  <c r="AD71" i="156"/>
  <c r="E78" i="275" l="1"/>
  <c r="F78" i="275"/>
  <c r="G78" i="275"/>
  <c r="C78" i="275"/>
  <c r="D78" i="275"/>
  <c r="B78" i="275"/>
  <c r="A79" i="275"/>
  <c r="H77" i="275"/>
  <c r="F70" i="273"/>
  <c r="C71" i="273"/>
  <c r="D71" i="273"/>
  <c r="E71" i="273"/>
  <c r="B71" i="273"/>
  <c r="A72" i="273"/>
  <c r="E71" i="272"/>
  <c r="B71" i="272"/>
  <c r="C71" i="272"/>
  <c r="D71" i="272"/>
  <c r="A72" i="272"/>
  <c r="F70" i="272"/>
  <c r="AD72" i="156"/>
  <c r="D71" i="266"/>
  <c r="C71" i="266"/>
  <c r="E71" i="266"/>
  <c r="B71" i="266"/>
  <c r="A72" i="266"/>
  <c r="G71" i="266"/>
  <c r="F70" i="266"/>
  <c r="H70" i="266" s="1"/>
  <c r="D71" i="265"/>
  <c r="E71" i="265"/>
  <c r="B71" i="265"/>
  <c r="C71" i="265"/>
  <c r="G71" i="265"/>
  <c r="A72" i="265"/>
  <c r="F70" i="265"/>
  <c r="H70" i="265" s="1"/>
  <c r="D71" i="264"/>
  <c r="E71" i="264"/>
  <c r="B71" i="264"/>
  <c r="C71" i="264"/>
  <c r="G71" i="264"/>
  <c r="A72" i="264"/>
  <c r="AB73" i="260"/>
  <c r="AA73" i="260"/>
  <c r="Z74" i="260"/>
  <c r="AC73" i="260"/>
  <c r="AD72" i="260"/>
  <c r="C81" i="253"/>
  <c r="D81" i="253"/>
  <c r="E81" i="253"/>
  <c r="B81" i="253"/>
  <c r="A82" i="253"/>
  <c r="B71" i="252"/>
  <c r="C71" i="252"/>
  <c r="D71" i="252"/>
  <c r="A72" i="252"/>
  <c r="G71" i="252"/>
  <c r="E70" i="252"/>
  <c r="F70" i="252"/>
  <c r="H70" i="252"/>
  <c r="I70" i="252"/>
  <c r="C71" i="251"/>
  <c r="B71" i="251"/>
  <c r="D71" i="251"/>
  <c r="G71" i="251"/>
  <c r="A72" i="251"/>
  <c r="E70" i="251"/>
  <c r="F70" i="251"/>
  <c r="J70" i="251" s="1"/>
  <c r="H70" i="251"/>
  <c r="I70" i="251"/>
  <c r="AA73" i="210"/>
  <c r="AB73" i="210"/>
  <c r="AC73" i="210"/>
  <c r="Z74" i="210"/>
  <c r="AD72" i="210"/>
  <c r="M74" i="164"/>
  <c r="O74" i="164" s="1"/>
  <c r="N74" i="164"/>
  <c r="L75" i="164"/>
  <c r="AB73" i="156"/>
  <c r="AA73" i="156"/>
  <c r="AC73" i="156"/>
  <c r="Z74" i="156"/>
  <c r="H78" i="275" l="1"/>
  <c r="G79" i="275"/>
  <c r="B79" i="275"/>
  <c r="E79" i="275"/>
  <c r="C79" i="275"/>
  <c r="D79" i="275"/>
  <c r="F79" i="275"/>
  <c r="A80" i="275"/>
  <c r="F71" i="266"/>
  <c r="H71" i="266" s="1"/>
  <c r="F71" i="273"/>
  <c r="B72" i="273"/>
  <c r="E72" i="273"/>
  <c r="D72" i="273"/>
  <c r="C72" i="273"/>
  <c r="A73" i="273"/>
  <c r="E72" i="272"/>
  <c r="B72" i="272"/>
  <c r="C72" i="272"/>
  <c r="D72" i="272"/>
  <c r="A73" i="272"/>
  <c r="F71" i="272"/>
  <c r="J70" i="252"/>
  <c r="AD73" i="156"/>
  <c r="C72" i="266"/>
  <c r="E72" i="266"/>
  <c r="D72" i="266"/>
  <c r="B72" i="266"/>
  <c r="G72" i="266"/>
  <c r="A73" i="266"/>
  <c r="D72" i="265"/>
  <c r="E72" i="265"/>
  <c r="B72" i="265"/>
  <c r="C72" i="265"/>
  <c r="A73" i="265"/>
  <c r="G72" i="265"/>
  <c r="F71" i="265"/>
  <c r="H71" i="265" s="1"/>
  <c r="C72" i="264"/>
  <c r="D72" i="264"/>
  <c r="E72" i="264"/>
  <c r="B72" i="264"/>
  <c r="F72" i="264" s="1"/>
  <c r="H72" i="264" s="1"/>
  <c r="G72" i="264"/>
  <c r="A73" i="264"/>
  <c r="F71" i="264"/>
  <c r="H71" i="264" s="1"/>
  <c r="AA74" i="260"/>
  <c r="AB74" i="260"/>
  <c r="Z75" i="260"/>
  <c r="AC74" i="260"/>
  <c r="AD73" i="260"/>
  <c r="B82" i="253"/>
  <c r="D82" i="253"/>
  <c r="C82" i="253"/>
  <c r="E82" i="253"/>
  <c r="A83" i="253"/>
  <c r="F81" i="253"/>
  <c r="B72" i="252"/>
  <c r="C72" i="252"/>
  <c r="G72" i="252"/>
  <c r="A73" i="252"/>
  <c r="D72" i="252"/>
  <c r="E71" i="252"/>
  <c r="F71" i="252"/>
  <c r="J71" i="252" s="1"/>
  <c r="H71" i="252"/>
  <c r="I71" i="252"/>
  <c r="B72" i="251"/>
  <c r="C72" i="251"/>
  <c r="A73" i="251"/>
  <c r="D72" i="251"/>
  <c r="G72" i="251"/>
  <c r="E71" i="251"/>
  <c r="F71" i="251"/>
  <c r="J71" i="251" s="1"/>
  <c r="H71" i="251"/>
  <c r="I71" i="251"/>
  <c r="AA74" i="210"/>
  <c r="AD74" i="210" s="1"/>
  <c r="AB74" i="210"/>
  <c r="AC74" i="210"/>
  <c r="Z75" i="210"/>
  <c r="AD73" i="210"/>
  <c r="M75" i="164"/>
  <c r="O75" i="164" s="1"/>
  <c r="N75" i="164"/>
  <c r="L76" i="164"/>
  <c r="AA74" i="156"/>
  <c r="AB74" i="156"/>
  <c r="AC74" i="156"/>
  <c r="Z75" i="156"/>
  <c r="E80" i="275" l="1"/>
  <c r="B80" i="275"/>
  <c r="F80" i="275"/>
  <c r="C80" i="275"/>
  <c r="D80" i="275"/>
  <c r="G80" i="275"/>
  <c r="A81" i="275"/>
  <c r="H79" i="275"/>
  <c r="D73" i="273"/>
  <c r="B73" i="273"/>
  <c r="C73" i="273"/>
  <c r="E73" i="273"/>
  <c r="A74" i="273"/>
  <c r="F72" i="273"/>
  <c r="E73" i="272"/>
  <c r="B73" i="272"/>
  <c r="C73" i="272"/>
  <c r="D73" i="272"/>
  <c r="A74" i="272"/>
  <c r="F72" i="272"/>
  <c r="D73" i="266"/>
  <c r="C73" i="266"/>
  <c r="B73" i="266"/>
  <c r="E73" i="266"/>
  <c r="G73" i="266"/>
  <c r="A74" i="266"/>
  <c r="F72" i="266"/>
  <c r="H72" i="266" s="1"/>
  <c r="D73" i="265"/>
  <c r="E73" i="265"/>
  <c r="C73" i="265"/>
  <c r="B73" i="265"/>
  <c r="F73" i="265" s="1"/>
  <c r="H73" i="265" s="1"/>
  <c r="A74" i="265"/>
  <c r="G73" i="265"/>
  <c r="F72" i="265"/>
  <c r="H72" i="265" s="1"/>
  <c r="D73" i="264"/>
  <c r="E73" i="264"/>
  <c r="B73" i="264"/>
  <c r="C73" i="264"/>
  <c r="A74" i="264"/>
  <c r="G73" i="264"/>
  <c r="AB75" i="260"/>
  <c r="AA75" i="260"/>
  <c r="AD75" i="260" s="1"/>
  <c r="Z76" i="260"/>
  <c r="AC75" i="260"/>
  <c r="AD74" i="260"/>
  <c r="D83" i="253"/>
  <c r="B83" i="253"/>
  <c r="C83" i="253"/>
  <c r="E83" i="253"/>
  <c r="A84" i="253"/>
  <c r="F82" i="253"/>
  <c r="B73" i="252"/>
  <c r="C73" i="252"/>
  <c r="G73" i="252"/>
  <c r="A74" i="252"/>
  <c r="D73" i="252"/>
  <c r="H72" i="252"/>
  <c r="I72" i="252"/>
  <c r="E72" i="252"/>
  <c r="F72" i="252"/>
  <c r="J72" i="252" s="1"/>
  <c r="C73" i="251"/>
  <c r="B73" i="251"/>
  <c r="A74" i="251"/>
  <c r="D73" i="251"/>
  <c r="G73" i="251"/>
  <c r="E72" i="251"/>
  <c r="F72" i="251"/>
  <c r="J72" i="251" s="1"/>
  <c r="H72" i="251"/>
  <c r="I72" i="251"/>
  <c r="AB75" i="210"/>
  <c r="AA75" i="210"/>
  <c r="AD75" i="210" s="1"/>
  <c r="AC75" i="210"/>
  <c r="Z76" i="210"/>
  <c r="M76" i="164"/>
  <c r="O76" i="164" s="1"/>
  <c r="N76" i="164"/>
  <c r="L77" i="164"/>
  <c r="AB75" i="156"/>
  <c r="AA75" i="156"/>
  <c r="Z76" i="156"/>
  <c r="AC75" i="156"/>
  <c r="AD74" i="156"/>
  <c r="B81" i="275" l="1"/>
  <c r="F81" i="275"/>
  <c r="G81" i="275"/>
  <c r="C81" i="275"/>
  <c r="D81" i="275"/>
  <c r="E81" i="275"/>
  <c r="A82" i="275"/>
  <c r="H80" i="275"/>
  <c r="C74" i="273"/>
  <c r="B74" i="273"/>
  <c r="E74" i="273"/>
  <c r="D74" i="273"/>
  <c r="A75" i="273"/>
  <c r="F73" i="273"/>
  <c r="B74" i="272"/>
  <c r="E74" i="272"/>
  <c r="C74" i="272"/>
  <c r="D74" i="272"/>
  <c r="A75" i="272"/>
  <c r="F73" i="272"/>
  <c r="D74" i="266"/>
  <c r="C74" i="266"/>
  <c r="E74" i="266"/>
  <c r="B74" i="266"/>
  <c r="A75" i="266"/>
  <c r="F73" i="266"/>
  <c r="H73" i="266" s="1"/>
  <c r="C74" i="265"/>
  <c r="D74" i="265"/>
  <c r="E74" i="265"/>
  <c r="B74" i="265"/>
  <c r="A75" i="265"/>
  <c r="G74" i="265"/>
  <c r="D74" i="264"/>
  <c r="E74" i="264"/>
  <c r="B74" i="264"/>
  <c r="F74" i="264" s="1"/>
  <c r="H74" i="264" s="1"/>
  <c r="C74" i="264"/>
  <c r="G74" i="264"/>
  <c r="A75" i="264"/>
  <c r="F73" i="264"/>
  <c r="H73" i="264" s="1"/>
  <c r="AA76" i="260"/>
  <c r="AB76" i="260"/>
  <c r="AC76" i="260"/>
  <c r="Z77" i="260"/>
  <c r="E84" i="253"/>
  <c r="C84" i="253"/>
  <c r="B84" i="253"/>
  <c r="D84" i="253"/>
  <c r="A85" i="253"/>
  <c r="F83" i="253"/>
  <c r="B74" i="252"/>
  <c r="C74" i="252"/>
  <c r="D74" i="252"/>
  <c r="G74" i="252"/>
  <c r="A75" i="252"/>
  <c r="H73" i="252"/>
  <c r="I73" i="252"/>
  <c r="E73" i="252"/>
  <c r="F73" i="252"/>
  <c r="C74" i="251"/>
  <c r="B74" i="251"/>
  <c r="A75" i="251"/>
  <c r="D74" i="251"/>
  <c r="G74" i="251"/>
  <c r="E73" i="251"/>
  <c r="F73" i="251"/>
  <c r="J73" i="251" s="1"/>
  <c r="H73" i="251"/>
  <c r="I73" i="251"/>
  <c r="AB76" i="210"/>
  <c r="AA76" i="210"/>
  <c r="AC76" i="210"/>
  <c r="Z77" i="210"/>
  <c r="M77" i="164"/>
  <c r="O77" i="164" s="1"/>
  <c r="N77" i="164"/>
  <c r="L78" i="164"/>
  <c r="AB76" i="156"/>
  <c r="AA76" i="156"/>
  <c r="AD76" i="156" s="1"/>
  <c r="AC76" i="156"/>
  <c r="Z77" i="156"/>
  <c r="AD75" i="156"/>
  <c r="E82" i="275" l="1"/>
  <c r="G82" i="275"/>
  <c r="C82" i="275"/>
  <c r="B82" i="275"/>
  <c r="F82" i="275"/>
  <c r="D82" i="275"/>
  <c r="A83" i="275"/>
  <c r="H81" i="275"/>
  <c r="E75" i="273"/>
  <c r="C75" i="273"/>
  <c r="D75" i="273"/>
  <c r="B75" i="273"/>
  <c r="A76" i="273"/>
  <c r="F74" i="273"/>
  <c r="E75" i="272"/>
  <c r="B75" i="272"/>
  <c r="C75" i="272"/>
  <c r="D75" i="272"/>
  <c r="A76" i="272"/>
  <c r="F74" i="272"/>
  <c r="F74" i="266"/>
  <c r="D75" i="266"/>
  <c r="B75" i="266"/>
  <c r="C75" i="266"/>
  <c r="E75" i="266"/>
  <c r="A76" i="266"/>
  <c r="D75" i="265"/>
  <c r="E75" i="265"/>
  <c r="B75" i="265"/>
  <c r="F75" i="265" s="1"/>
  <c r="H75" i="265" s="1"/>
  <c r="C75" i="265"/>
  <c r="G75" i="265"/>
  <c r="A76" i="265"/>
  <c r="F74" i="265"/>
  <c r="H74" i="265" s="1"/>
  <c r="B75" i="264"/>
  <c r="E75" i="264"/>
  <c r="C75" i="264"/>
  <c r="D75" i="264"/>
  <c r="A76" i="264"/>
  <c r="G75" i="264"/>
  <c r="AB77" i="260"/>
  <c r="AA77" i="260"/>
  <c r="AC77" i="260"/>
  <c r="Z78" i="260"/>
  <c r="AD76" i="260"/>
  <c r="C85" i="253"/>
  <c r="B85" i="253"/>
  <c r="D85" i="253"/>
  <c r="E85" i="253"/>
  <c r="A86" i="253"/>
  <c r="F84" i="253"/>
  <c r="B75" i="252"/>
  <c r="C75" i="252"/>
  <c r="A76" i="252"/>
  <c r="D75" i="252"/>
  <c r="G75" i="252"/>
  <c r="J73" i="252"/>
  <c r="E74" i="252"/>
  <c r="F74" i="252"/>
  <c r="H74" i="252"/>
  <c r="I74" i="252"/>
  <c r="C75" i="251"/>
  <c r="B75" i="251"/>
  <c r="F75" i="251"/>
  <c r="A76" i="251"/>
  <c r="D75" i="251"/>
  <c r="E75" i="251" s="1"/>
  <c r="G75" i="251"/>
  <c r="E74" i="251"/>
  <c r="F74" i="251"/>
  <c r="H74" i="251"/>
  <c r="I74" i="251"/>
  <c r="AB77" i="210"/>
  <c r="AA77" i="210"/>
  <c r="AD77" i="210" s="1"/>
  <c r="AC77" i="210"/>
  <c r="Z78" i="210"/>
  <c r="AD76" i="210"/>
  <c r="M78" i="164"/>
  <c r="O78" i="164" s="1"/>
  <c r="N78" i="164"/>
  <c r="L79" i="164"/>
  <c r="AB77" i="156"/>
  <c r="AA77" i="156"/>
  <c r="Z78" i="156"/>
  <c r="AC77" i="156"/>
  <c r="B83" i="275" l="1"/>
  <c r="F83" i="275"/>
  <c r="E83" i="275"/>
  <c r="G83" i="275"/>
  <c r="C83" i="275"/>
  <c r="D83" i="275"/>
  <c r="A84" i="275"/>
  <c r="H82" i="275"/>
  <c r="F75" i="273"/>
  <c r="C76" i="273"/>
  <c r="D76" i="273"/>
  <c r="E76" i="273"/>
  <c r="B76" i="273"/>
  <c r="A77" i="273"/>
  <c r="F75" i="272"/>
  <c r="E76" i="272"/>
  <c r="B76" i="272"/>
  <c r="C76" i="272"/>
  <c r="D76" i="272"/>
  <c r="A77" i="272"/>
  <c r="J74" i="252"/>
  <c r="C76" i="266"/>
  <c r="E76" i="266"/>
  <c r="D76" i="266"/>
  <c r="B76" i="266"/>
  <c r="A77" i="266"/>
  <c r="F75" i="266"/>
  <c r="D76" i="265"/>
  <c r="E76" i="265"/>
  <c r="B76" i="265"/>
  <c r="F76" i="265" s="1"/>
  <c r="H76" i="265" s="1"/>
  <c r="C76" i="265"/>
  <c r="A77" i="265"/>
  <c r="G76" i="265"/>
  <c r="D76" i="264"/>
  <c r="B76" i="264"/>
  <c r="E76" i="264"/>
  <c r="C76" i="264"/>
  <c r="G76" i="264"/>
  <c r="A77" i="264"/>
  <c r="F75" i="264"/>
  <c r="H75" i="264" s="1"/>
  <c r="AA78" i="260"/>
  <c r="AB78" i="260"/>
  <c r="AC78" i="260"/>
  <c r="Z79" i="260"/>
  <c r="AD77" i="260"/>
  <c r="B86" i="253"/>
  <c r="D86" i="253"/>
  <c r="C86" i="253"/>
  <c r="E86" i="253"/>
  <c r="A87" i="253"/>
  <c r="F85" i="253"/>
  <c r="B76" i="252"/>
  <c r="C76" i="252"/>
  <c r="D76" i="252"/>
  <c r="G76" i="252"/>
  <c r="A77" i="252"/>
  <c r="E75" i="252"/>
  <c r="F75" i="252"/>
  <c r="H75" i="252"/>
  <c r="I75" i="252"/>
  <c r="B76" i="251"/>
  <c r="C76" i="251"/>
  <c r="G76" i="251"/>
  <c r="D76" i="251"/>
  <c r="A77" i="251"/>
  <c r="J74" i="251"/>
  <c r="H75" i="251"/>
  <c r="I75" i="251"/>
  <c r="J75" i="251" s="1"/>
  <c r="AB78" i="210"/>
  <c r="AA78" i="210"/>
  <c r="AD78" i="210" s="1"/>
  <c r="AC78" i="210"/>
  <c r="Z79" i="210"/>
  <c r="M79" i="164"/>
  <c r="O79" i="164" s="1"/>
  <c r="N79" i="164"/>
  <c r="L80" i="164"/>
  <c r="AA78" i="156"/>
  <c r="AB78" i="156"/>
  <c r="AC78" i="156"/>
  <c r="Z79" i="156"/>
  <c r="AD77" i="156"/>
  <c r="B84" i="275" l="1"/>
  <c r="F84" i="275"/>
  <c r="G84" i="275"/>
  <c r="E84" i="275"/>
  <c r="C84" i="275"/>
  <c r="D84" i="275"/>
  <c r="A85" i="275"/>
  <c r="H83" i="275"/>
  <c r="F76" i="266"/>
  <c r="D77" i="273"/>
  <c r="C77" i="273"/>
  <c r="E77" i="273"/>
  <c r="B77" i="273"/>
  <c r="A78" i="273"/>
  <c r="F76" i="273"/>
  <c r="B77" i="272"/>
  <c r="E77" i="272"/>
  <c r="C77" i="272"/>
  <c r="D77" i="272"/>
  <c r="A78" i="272"/>
  <c r="F76" i="272"/>
  <c r="J75" i="252"/>
  <c r="AD78" i="156"/>
  <c r="D77" i="266"/>
  <c r="E77" i="266"/>
  <c r="B77" i="266"/>
  <c r="C77" i="266"/>
  <c r="A78" i="266"/>
  <c r="B77" i="265"/>
  <c r="D77" i="265"/>
  <c r="E77" i="265"/>
  <c r="C77" i="265"/>
  <c r="G77" i="265"/>
  <c r="A78" i="265"/>
  <c r="E77" i="264"/>
  <c r="B77" i="264"/>
  <c r="C77" i="264"/>
  <c r="D77" i="264"/>
  <c r="G77" i="264"/>
  <c r="A78" i="264"/>
  <c r="F76" i="264"/>
  <c r="H76" i="264" s="1"/>
  <c r="AA79" i="260"/>
  <c r="AD79" i="260" s="1"/>
  <c r="AB79" i="260"/>
  <c r="Z80" i="260"/>
  <c r="AC79" i="260"/>
  <c r="AD78" i="260"/>
  <c r="B87" i="253"/>
  <c r="D87" i="253"/>
  <c r="E87" i="253"/>
  <c r="C87" i="253"/>
  <c r="A88" i="253"/>
  <c r="F86" i="253"/>
  <c r="B77" i="252"/>
  <c r="C77" i="252"/>
  <c r="A78" i="252"/>
  <c r="D77" i="252"/>
  <c r="G77" i="252"/>
  <c r="E76" i="252"/>
  <c r="F76" i="252"/>
  <c r="J76" i="252" s="1"/>
  <c r="H76" i="252"/>
  <c r="I76" i="252"/>
  <c r="B77" i="251"/>
  <c r="C77" i="251"/>
  <c r="G77" i="251"/>
  <c r="D77" i="251"/>
  <c r="A78" i="251"/>
  <c r="H76" i="251"/>
  <c r="I76" i="251"/>
  <c r="E76" i="251"/>
  <c r="F76" i="251"/>
  <c r="J76" i="251" s="1"/>
  <c r="AA79" i="210"/>
  <c r="AB79" i="210"/>
  <c r="AC79" i="210"/>
  <c r="Z80" i="210"/>
  <c r="M80" i="164"/>
  <c r="O80" i="164" s="1"/>
  <c r="N80" i="164"/>
  <c r="L81" i="164"/>
  <c r="AA79" i="156"/>
  <c r="AB79" i="156"/>
  <c r="AC79" i="156"/>
  <c r="Z80" i="156"/>
  <c r="F85" i="275" l="1"/>
  <c r="G85" i="275"/>
  <c r="C85" i="275"/>
  <c r="D85" i="275"/>
  <c r="E85" i="275"/>
  <c r="B85" i="275"/>
  <c r="A86" i="275"/>
  <c r="H84" i="275"/>
  <c r="F77" i="273"/>
  <c r="E78" i="273"/>
  <c r="C78" i="273"/>
  <c r="D78" i="273"/>
  <c r="B78" i="273"/>
  <c r="A79" i="273"/>
  <c r="F77" i="272"/>
  <c r="E78" i="272"/>
  <c r="B78" i="272"/>
  <c r="C78" i="272"/>
  <c r="D78" i="272"/>
  <c r="A79" i="272"/>
  <c r="D78" i="266"/>
  <c r="B78" i="266"/>
  <c r="C78" i="266"/>
  <c r="E78" i="266"/>
  <c r="A79" i="266"/>
  <c r="F77" i="266"/>
  <c r="C78" i="265"/>
  <c r="B78" i="265"/>
  <c r="E78" i="265"/>
  <c r="D78" i="265"/>
  <c r="G78" i="265"/>
  <c r="A79" i="265"/>
  <c r="F77" i="265"/>
  <c r="H77" i="265" s="1"/>
  <c r="E78" i="264"/>
  <c r="B78" i="264"/>
  <c r="D78" i="264"/>
  <c r="C78" i="264"/>
  <c r="A79" i="264"/>
  <c r="G78" i="264"/>
  <c r="F77" i="264"/>
  <c r="H77" i="264" s="1"/>
  <c r="AA80" i="260"/>
  <c r="AB80" i="260"/>
  <c r="AC80" i="260"/>
  <c r="Z81" i="260"/>
  <c r="C88" i="253"/>
  <c r="E88" i="253"/>
  <c r="D88" i="253"/>
  <c r="B88" i="253"/>
  <c r="A89" i="253"/>
  <c r="F87" i="253"/>
  <c r="B78" i="252"/>
  <c r="C78" i="252"/>
  <c r="G78" i="252"/>
  <c r="A79" i="252"/>
  <c r="D78" i="252"/>
  <c r="E77" i="252"/>
  <c r="F77" i="252"/>
  <c r="J77" i="252" s="1"/>
  <c r="H77" i="252"/>
  <c r="I77" i="252"/>
  <c r="B78" i="251"/>
  <c r="C78" i="251"/>
  <c r="D78" i="251"/>
  <c r="G78" i="251"/>
  <c r="A79" i="251"/>
  <c r="H77" i="251"/>
  <c r="I77" i="251"/>
  <c r="E77" i="251"/>
  <c r="F77" i="251"/>
  <c r="J77" i="251" s="1"/>
  <c r="AA80" i="210"/>
  <c r="AB80" i="210"/>
  <c r="AC80" i="210"/>
  <c r="Z81" i="210"/>
  <c r="AD79" i="210"/>
  <c r="M81" i="164"/>
  <c r="O81" i="164" s="1"/>
  <c r="N81" i="164"/>
  <c r="L82" i="164"/>
  <c r="AB80" i="156"/>
  <c r="AA80" i="156"/>
  <c r="AC80" i="156"/>
  <c r="Z81" i="156"/>
  <c r="AD79" i="156"/>
  <c r="G86" i="275" l="1"/>
  <c r="B86" i="275"/>
  <c r="F86" i="275"/>
  <c r="D86" i="275"/>
  <c r="E86" i="275"/>
  <c r="C86" i="275"/>
  <c r="A87" i="275"/>
  <c r="H85" i="275"/>
  <c r="F78" i="273"/>
  <c r="C79" i="273"/>
  <c r="B79" i="273"/>
  <c r="D79" i="273"/>
  <c r="A80" i="273"/>
  <c r="E79" i="273"/>
  <c r="F78" i="272"/>
  <c r="B79" i="272"/>
  <c r="C79" i="272"/>
  <c r="D79" i="272"/>
  <c r="A80" i="272"/>
  <c r="E79" i="272"/>
  <c r="F78" i="266"/>
  <c r="AD80" i="156"/>
  <c r="D79" i="266"/>
  <c r="E79" i="266"/>
  <c r="C79" i="266"/>
  <c r="B79" i="266"/>
  <c r="A80" i="266"/>
  <c r="C79" i="265"/>
  <c r="D79" i="265"/>
  <c r="E79" i="265"/>
  <c r="B79" i="265"/>
  <c r="F79" i="265" s="1"/>
  <c r="A80" i="265"/>
  <c r="G79" i="265"/>
  <c r="F78" i="265"/>
  <c r="H78" i="265" s="1"/>
  <c r="D79" i="264"/>
  <c r="C79" i="264"/>
  <c r="E79" i="264"/>
  <c r="B79" i="264"/>
  <c r="F79" i="264" s="1"/>
  <c r="A80" i="264"/>
  <c r="G79" i="264"/>
  <c r="F78" i="264"/>
  <c r="H78" i="264" s="1"/>
  <c r="AB81" i="260"/>
  <c r="AA81" i="260"/>
  <c r="AD81" i="260" s="1"/>
  <c r="AC81" i="260"/>
  <c r="Z82" i="260"/>
  <c r="AD80" i="260"/>
  <c r="D89" i="253"/>
  <c r="E89" i="253"/>
  <c r="B89" i="253"/>
  <c r="C89" i="253"/>
  <c r="A90" i="253"/>
  <c r="F88" i="253"/>
  <c r="B79" i="252"/>
  <c r="C79" i="252"/>
  <c r="D79" i="252"/>
  <c r="G79" i="252"/>
  <c r="A80" i="252"/>
  <c r="H78" i="252"/>
  <c r="I78" i="252"/>
  <c r="E78" i="252"/>
  <c r="F78" i="252"/>
  <c r="J78" i="252" s="1"/>
  <c r="B79" i="251"/>
  <c r="C79" i="251"/>
  <c r="D79" i="251"/>
  <c r="A80" i="251"/>
  <c r="G79" i="251"/>
  <c r="E78" i="251"/>
  <c r="F78" i="251"/>
  <c r="J78" i="251" s="1"/>
  <c r="H78" i="251"/>
  <c r="I78" i="251"/>
  <c r="AA81" i="210"/>
  <c r="AB81" i="210"/>
  <c r="AC81" i="210"/>
  <c r="Z82" i="210"/>
  <c r="AD80" i="210"/>
  <c r="M82" i="164"/>
  <c r="O82" i="164" s="1"/>
  <c r="N82" i="164"/>
  <c r="L83" i="164"/>
  <c r="AB81" i="156"/>
  <c r="AA81" i="156"/>
  <c r="AC81" i="156"/>
  <c r="Z82" i="156"/>
  <c r="H86" i="275" l="1"/>
  <c r="G87" i="275"/>
  <c r="C87" i="275"/>
  <c r="B87" i="275"/>
  <c r="D87" i="275"/>
  <c r="E87" i="275"/>
  <c r="F87" i="275"/>
  <c r="A88" i="275"/>
  <c r="F79" i="266"/>
  <c r="D80" i="273"/>
  <c r="E80" i="273"/>
  <c r="A81" i="273"/>
  <c r="B80" i="273"/>
  <c r="C80" i="273"/>
  <c r="F79" i="273"/>
  <c r="B80" i="272"/>
  <c r="A81" i="272"/>
  <c r="D80" i="272"/>
  <c r="C80" i="272"/>
  <c r="E80" i="272"/>
  <c r="F79" i="272"/>
  <c r="AD81" i="156"/>
  <c r="B80" i="266"/>
  <c r="C80" i="266"/>
  <c r="D80" i="266"/>
  <c r="E80" i="266"/>
  <c r="A81" i="266"/>
  <c r="D80" i="265"/>
  <c r="E80" i="265"/>
  <c r="B80" i="265"/>
  <c r="C80" i="265"/>
  <c r="G80" i="265"/>
  <c r="A81" i="265"/>
  <c r="H79" i="265"/>
  <c r="B80" i="264"/>
  <c r="E80" i="264"/>
  <c r="D80" i="264"/>
  <c r="C80" i="264"/>
  <c r="G80" i="264"/>
  <c r="A81" i="264"/>
  <c r="H79" i="264"/>
  <c r="AA82" i="260"/>
  <c r="AD82" i="260" s="1"/>
  <c r="AB82" i="260"/>
  <c r="AC82" i="260"/>
  <c r="Z83" i="260"/>
  <c r="C90" i="253"/>
  <c r="D90" i="253"/>
  <c r="B90" i="253"/>
  <c r="E90" i="253"/>
  <c r="A91" i="253"/>
  <c r="F89" i="253"/>
  <c r="B80" i="252"/>
  <c r="C80" i="252"/>
  <c r="D80" i="252"/>
  <c r="G80" i="252"/>
  <c r="A81" i="252"/>
  <c r="E79" i="252"/>
  <c r="F79" i="252"/>
  <c r="H79" i="252"/>
  <c r="I79" i="252" s="1"/>
  <c r="B80" i="251"/>
  <c r="C80" i="251"/>
  <c r="D80" i="251"/>
  <c r="A81" i="251"/>
  <c r="G80" i="251"/>
  <c r="E79" i="251"/>
  <c r="F79" i="251"/>
  <c r="J79" i="251" s="1"/>
  <c r="H79" i="251"/>
  <c r="I79" i="251"/>
  <c r="AA82" i="210"/>
  <c r="AD82" i="210" s="1"/>
  <c r="AB82" i="210"/>
  <c r="AC82" i="210"/>
  <c r="Z83" i="210"/>
  <c r="AD81" i="210"/>
  <c r="M83" i="164"/>
  <c r="O83" i="164" s="1"/>
  <c r="N83" i="164"/>
  <c r="L84" i="164"/>
  <c r="AB82" i="156"/>
  <c r="AA82" i="156"/>
  <c r="Z83" i="156"/>
  <c r="AC82" i="156"/>
  <c r="G88" i="275" l="1"/>
  <c r="C88" i="275"/>
  <c r="F88" i="275"/>
  <c r="D88" i="275"/>
  <c r="E88" i="275"/>
  <c r="B88" i="275"/>
  <c r="A89" i="275"/>
  <c r="H87" i="275"/>
  <c r="B81" i="273"/>
  <c r="C81" i="273"/>
  <c r="E81" i="273"/>
  <c r="A82" i="273"/>
  <c r="D81" i="273"/>
  <c r="F80" i="273"/>
  <c r="D81" i="272"/>
  <c r="A82" i="272"/>
  <c r="B81" i="272"/>
  <c r="E81" i="272"/>
  <c r="C81" i="272"/>
  <c r="F80" i="272"/>
  <c r="J79" i="252"/>
  <c r="AD82" i="156"/>
  <c r="E81" i="266"/>
  <c r="C81" i="266"/>
  <c r="D81" i="266"/>
  <c r="B81" i="266"/>
  <c r="A82" i="266"/>
  <c r="F80" i="266"/>
  <c r="D81" i="265"/>
  <c r="E81" i="265"/>
  <c r="B81" i="265"/>
  <c r="F81" i="265" s="1"/>
  <c r="H81" i="265" s="1"/>
  <c r="C81" i="265"/>
  <c r="G81" i="265"/>
  <c r="A82" i="265"/>
  <c r="F80" i="265"/>
  <c r="H80" i="265" s="1"/>
  <c r="E81" i="264"/>
  <c r="B81" i="264"/>
  <c r="D81" i="264"/>
  <c r="C81" i="264"/>
  <c r="A82" i="264"/>
  <c r="G81" i="264"/>
  <c r="F80" i="264"/>
  <c r="H80" i="264" s="1"/>
  <c r="AA83" i="260"/>
  <c r="AD83" i="260" s="1"/>
  <c r="AB83" i="260"/>
  <c r="Z84" i="260"/>
  <c r="AC83" i="260"/>
  <c r="C91" i="253"/>
  <c r="B91" i="253"/>
  <c r="D91" i="253"/>
  <c r="E91" i="253"/>
  <c r="A92" i="253"/>
  <c r="F90" i="253"/>
  <c r="B81" i="252"/>
  <c r="C81" i="252"/>
  <c r="D81" i="252"/>
  <c r="G81" i="252"/>
  <c r="A82" i="252"/>
  <c r="E80" i="252"/>
  <c r="F80" i="252"/>
  <c r="H80" i="252"/>
  <c r="I80" i="252"/>
  <c r="B81" i="251"/>
  <c r="C81" i="251"/>
  <c r="D81" i="251"/>
  <c r="A82" i="251"/>
  <c r="G81" i="251"/>
  <c r="E80" i="251"/>
  <c r="F80" i="251"/>
  <c r="J80" i="251" s="1"/>
  <c r="H80" i="251"/>
  <c r="I80" i="251"/>
  <c r="AB83" i="210"/>
  <c r="AA83" i="210"/>
  <c r="AC83" i="210"/>
  <c r="Z84" i="210"/>
  <c r="M84" i="164"/>
  <c r="O84" i="164" s="1"/>
  <c r="N84" i="164"/>
  <c r="L85" i="164"/>
  <c r="AA83" i="156"/>
  <c r="AB83" i="156"/>
  <c r="Z84" i="156"/>
  <c r="AC83" i="156"/>
  <c r="H88" i="275" l="1"/>
  <c r="E89" i="275"/>
  <c r="G89" i="275"/>
  <c r="C89" i="275"/>
  <c r="B89" i="275"/>
  <c r="D89" i="275"/>
  <c r="F89" i="275"/>
  <c r="A90" i="275"/>
  <c r="C82" i="273"/>
  <c r="E82" i="273"/>
  <c r="A83" i="273"/>
  <c r="B82" i="273"/>
  <c r="D82" i="273"/>
  <c r="F81" i="273"/>
  <c r="D82" i="272"/>
  <c r="A83" i="272"/>
  <c r="C82" i="272"/>
  <c r="B82" i="272"/>
  <c r="E82" i="272"/>
  <c r="F81" i="272"/>
  <c r="F81" i="266"/>
  <c r="D82" i="266"/>
  <c r="B82" i="266"/>
  <c r="C82" i="266"/>
  <c r="E82" i="266"/>
  <c r="A83" i="266"/>
  <c r="B82" i="265"/>
  <c r="D82" i="265"/>
  <c r="E82" i="265"/>
  <c r="C82" i="265"/>
  <c r="G82" i="265"/>
  <c r="A83" i="265"/>
  <c r="D82" i="264"/>
  <c r="E82" i="264"/>
  <c r="B82" i="264"/>
  <c r="C82" i="264"/>
  <c r="A83" i="264"/>
  <c r="G82" i="264"/>
  <c r="F81" i="264"/>
  <c r="H81" i="264" s="1"/>
  <c r="AA84" i="260"/>
  <c r="AB84" i="260"/>
  <c r="AC84" i="260"/>
  <c r="Z85" i="260"/>
  <c r="C92" i="253"/>
  <c r="D92" i="253"/>
  <c r="B92" i="253"/>
  <c r="F92" i="253" s="1"/>
  <c r="E92" i="253"/>
  <c r="A93" i="253"/>
  <c r="F91" i="253"/>
  <c r="B82" i="252"/>
  <c r="C82" i="252"/>
  <c r="A83" i="252"/>
  <c r="G82" i="252"/>
  <c r="D82" i="252"/>
  <c r="J80" i="252"/>
  <c r="E81" i="252"/>
  <c r="F81" i="252" s="1"/>
  <c r="H81" i="252"/>
  <c r="I81" i="252"/>
  <c r="B82" i="251"/>
  <c r="C82" i="251"/>
  <c r="D82" i="251"/>
  <c r="G82" i="251"/>
  <c r="A83" i="251"/>
  <c r="E81" i="251"/>
  <c r="F81" i="251"/>
  <c r="J81" i="251" s="1"/>
  <c r="H81" i="251"/>
  <c r="I81" i="251"/>
  <c r="AA84" i="210"/>
  <c r="AB84" i="210"/>
  <c r="AC84" i="210"/>
  <c r="Z85" i="210"/>
  <c r="AD83" i="210"/>
  <c r="M85" i="164"/>
  <c r="O85" i="164" s="1"/>
  <c r="N85" i="164"/>
  <c r="L86" i="164"/>
  <c r="AB84" i="156"/>
  <c r="AA84" i="156"/>
  <c r="Z85" i="156"/>
  <c r="AC84" i="156"/>
  <c r="AD83" i="156"/>
  <c r="E90" i="275" l="1"/>
  <c r="F90" i="275"/>
  <c r="G90" i="275"/>
  <c r="B90" i="275"/>
  <c r="C90" i="275"/>
  <c r="D90" i="275"/>
  <c r="A91" i="275"/>
  <c r="H89" i="275"/>
  <c r="F82" i="273"/>
  <c r="B83" i="273"/>
  <c r="C83" i="273"/>
  <c r="D83" i="273"/>
  <c r="E83" i="273"/>
  <c r="A84" i="273"/>
  <c r="F82" i="272"/>
  <c r="E83" i="272"/>
  <c r="B83" i="272"/>
  <c r="C83" i="272"/>
  <c r="D83" i="272"/>
  <c r="A84" i="272"/>
  <c r="J81" i="252"/>
  <c r="E83" i="266"/>
  <c r="B83" i="266"/>
  <c r="C83" i="266"/>
  <c r="D83" i="266"/>
  <c r="A84" i="266"/>
  <c r="F82" i="266"/>
  <c r="B83" i="265"/>
  <c r="F83" i="265" s="1"/>
  <c r="H83" i="265" s="1"/>
  <c r="E83" i="265"/>
  <c r="D83" i="265"/>
  <c r="C83" i="265"/>
  <c r="G83" i="265"/>
  <c r="A84" i="265"/>
  <c r="F82" i="265"/>
  <c r="H82" i="265" s="1"/>
  <c r="E83" i="264"/>
  <c r="D83" i="264"/>
  <c r="B83" i="264"/>
  <c r="C83" i="264"/>
  <c r="G83" i="264"/>
  <c r="A84" i="264"/>
  <c r="F82" i="264"/>
  <c r="H82" i="264" s="1"/>
  <c r="AB85" i="260"/>
  <c r="AA85" i="260"/>
  <c r="AD85" i="260" s="1"/>
  <c r="AC85" i="260"/>
  <c r="Z86" i="260"/>
  <c r="AD84" i="260"/>
  <c r="D93" i="253"/>
  <c r="C93" i="253"/>
  <c r="E93" i="253"/>
  <c r="B93" i="253"/>
  <c r="F93" i="253" s="1"/>
  <c r="A94" i="253"/>
  <c r="B83" i="252"/>
  <c r="C83" i="252"/>
  <c r="D83" i="252"/>
  <c r="G83" i="252"/>
  <c r="A84" i="252"/>
  <c r="H82" i="252"/>
  <c r="I82" i="252"/>
  <c r="E82" i="252"/>
  <c r="F82" i="252"/>
  <c r="B83" i="251"/>
  <c r="C83" i="251"/>
  <c r="D83" i="251"/>
  <c r="G83" i="251"/>
  <c r="A84" i="251"/>
  <c r="E82" i="251"/>
  <c r="F82" i="251"/>
  <c r="J82" i="251" s="1"/>
  <c r="H82" i="251"/>
  <c r="I82" i="251"/>
  <c r="AB85" i="210"/>
  <c r="AA85" i="210"/>
  <c r="AC85" i="210"/>
  <c r="Z86" i="210"/>
  <c r="AD84" i="210"/>
  <c r="M86" i="164"/>
  <c r="O86" i="164" s="1"/>
  <c r="N86" i="164"/>
  <c r="L87" i="164"/>
  <c r="AA85" i="156"/>
  <c r="AB85" i="156"/>
  <c r="Z86" i="156"/>
  <c r="AC85" i="156"/>
  <c r="AD84" i="156"/>
  <c r="G91" i="275" l="1"/>
  <c r="C91" i="275"/>
  <c r="D91" i="275"/>
  <c r="E91" i="275"/>
  <c r="B91" i="275"/>
  <c r="F91" i="275"/>
  <c r="A92" i="275"/>
  <c r="H90" i="275"/>
  <c r="B84" i="273"/>
  <c r="C84" i="273"/>
  <c r="D84" i="273"/>
  <c r="E84" i="273"/>
  <c r="A85" i="273"/>
  <c r="F83" i="273"/>
  <c r="C84" i="272"/>
  <c r="E84" i="272"/>
  <c r="D84" i="272"/>
  <c r="A85" i="272"/>
  <c r="B84" i="272"/>
  <c r="F83" i="272"/>
  <c r="F83" i="266"/>
  <c r="J82" i="252"/>
  <c r="E84" i="266"/>
  <c r="B84" i="266"/>
  <c r="C84" i="266"/>
  <c r="D84" i="266"/>
  <c r="A85" i="266"/>
  <c r="D84" i="265"/>
  <c r="C84" i="265"/>
  <c r="E84" i="265"/>
  <c r="B84" i="265"/>
  <c r="F84" i="265" s="1"/>
  <c r="H84" i="265" s="1"/>
  <c r="A85" i="265"/>
  <c r="G84" i="265"/>
  <c r="E84" i="264"/>
  <c r="D84" i="264"/>
  <c r="B84" i="264"/>
  <c r="F84" i="264" s="1"/>
  <c r="C84" i="264"/>
  <c r="G84" i="264"/>
  <c r="A85" i="264"/>
  <c r="F83" i="264"/>
  <c r="H83" i="264" s="1"/>
  <c r="AA86" i="260"/>
  <c r="AB86" i="260"/>
  <c r="AC86" i="260"/>
  <c r="Z87" i="260"/>
  <c r="D94" i="253"/>
  <c r="B94" i="253"/>
  <c r="F94" i="253" s="1"/>
  <c r="C94" i="253"/>
  <c r="E94" i="253"/>
  <c r="A95" i="253"/>
  <c r="B84" i="252"/>
  <c r="C84" i="252"/>
  <c r="G84" i="252"/>
  <c r="D84" i="252"/>
  <c r="A85" i="252"/>
  <c r="E83" i="252"/>
  <c r="F83" i="252"/>
  <c r="H83" i="252"/>
  <c r="I83" i="252"/>
  <c r="B84" i="251"/>
  <c r="C84" i="251"/>
  <c r="A85" i="251"/>
  <c r="D84" i="251"/>
  <c r="G84" i="251"/>
  <c r="E83" i="251"/>
  <c r="F83" i="251"/>
  <c r="J83" i="251" s="1"/>
  <c r="H83" i="251"/>
  <c r="I83" i="251"/>
  <c r="AB86" i="210"/>
  <c r="AA86" i="210"/>
  <c r="AD86" i="210" s="1"/>
  <c r="AC86" i="210"/>
  <c r="Z87" i="210"/>
  <c r="AD85" i="210"/>
  <c r="M87" i="164"/>
  <c r="O87" i="164" s="1"/>
  <c r="N87" i="164"/>
  <c r="L88" i="164"/>
  <c r="AB86" i="156"/>
  <c r="AA86" i="156"/>
  <c r="Z87" i="156"/>
  <c r="AC86" i="156"/>
  <c r="AD85" i="156"/>
  <c r="H91" i="275" l="1"/>
  <c r="B92" i="275"/>
  <c r="F92" i="275"/>
  <c r="G92" i="275"/>
  <c r="C92" i="275"/>
  <c r="D92" i="275"/>
  <c r="E92" i="275"/>
  <c r="A93" i="275"/>
  <c r="F84" i="273"/>
  <c r="B85" i="273"/>
  <c r="C85" i="273"/>
  <c r="D85" i="273"/>
  <c r="E85" i="273"/>
  <c r="A86" i="273"/>
  <c r="E85" i="272"/>
  <c r="B85" i="272"/>
  <c r="D85" i="272"/>
  <c r="C85" i="272"/>
  <c r="A86" i="272"/>
  <c r="F84" i="272"/>
  <c r="J83" i="252"/>
  <c r="C85" i="266"/>
  <c r="B85" i="266"/>
  <c r="D85" i="266"/>
  <c r="E85" i="266"/>
  <c r="A86" i="266"/>
  <c r="F84" i="266"/>
  <c r="D85" i="265"/>
  <c r="B85" i="265"/>
  <c r="F85" i="265" s="1"/>
  <c r="H85" i="265" s="1"/>
  <c r="E85" i="265"/>
  <c r="C85" i="265"/>
  <c r="G85" i="265"/>
  <c r="A86" i="265"/>
  <c r="E85" i="264"/>
  <c r="D85" i="264"/>
  <c r="B85" i="264"/>
  <c r="F85" i="264" s="1"/>
  <c r="H85" i="264" s="1"/>
  <c r="C85" i="264"/>
  <c r="G85" i="264"/>
  <c r="A86" i="264"/>
  <c r="H84" i="264"/>
  <c r="AB87" i="260"/>
  <c r="AA87" i="260"/>
  <c r="AC87" i="260"/>
  <c r="Z88" i="260"/>
  <c r="AD86" i="260"/>
  <c r="C95" i="253"/>
  <c r="D95" i="253"/>
  <c r="B95" i="253"/>
  <c r="E95" i="253"/>
  <c r="A96" i="253"/>
  <c r="B85" i="252"/>
  <c r="C85" i="252"/>
  <c r="G85" i="252"/>
  <c r="A86" i="252"/>
  <c r="D85" i="252"/>
  <c r="H84" i="252"/>
  <c r="I84" i="252" s="1"/>
  <c r="E84" i="252"/>
  <c r="F84" i="252"/>
  <c r="B85" i="251"/>
  <c r="C85" i="251"/>
  <c r="G85" i="251"/>
  <c r="D85" i="251"/>
  <c r="A86" i="251"/>
  <c r="E84" i="251"/>
  <c r="F84" i="251"/>
  <c r="J84" i="251" s="1"/>
  <c r="H84" i="251"/>
  <c r="I84" i="251"/>
  <c r="AB87" i="210"/>
  <c r="AA87" i="210"/>
  <c r="AD87" i="210" s="1"/>
  <c r="AC87" i="210"/>
  <c r="Z88" i="210"/>
  <c r="M88" i="164"/>
  <c r="O88" i="164" s="1"/>
  <c r="N88" i="164"/>
  <c r="L89" i="164"/>
  <c r="AB87" i="156"/>
  <c r="AA87" i="156"/>
  <c r="AC87" i="156"/>
  <c r="Z88" i="156"/>
  <c r="AD86" i="156"/>
  <c r="F93" i="275" l="1"/>
  <c r="G93" i="275"/>
  <c r="B93" i="275"/>
  <c r="C93" i="275"/>
  <c r="D93" i="275"/>
  <c r="E93" i="275"/>
  <c r="A94" i="275"/>
  <c r="H92" i="275"/>
  <c r="B86" i="273"/>
  <c r="C86" i="273"/>
  <c r="D86" i="273"/>
  <c r="E86" i="273"/>
  <c r="A87" i="273"/>
  <c r="F85" i="273"/>
  <c r="E86" i="272"/>
  <c r="B86" i="272"/>
  <c r="A87" i="272"/>
  <c r="C86" i="272"/>
  <c r="D86" i="272"/>
  <c r="F85" i="272"/>
  <c r="J84" i="252"/>
  <c r="E86" i="266"/>
  <c r="D86" i="266"/>
  <c r="C86" i="266"/>
  <c r="B86" i="266"/>
  <c r="A87" i="266"/>
  <c r="F85" i="266"/>
  <c r="B86" i="265"/>
  <c r="E86" i="265"/>
  <c r="D86" i="265"/>
  <c r="C86" i="265"/>
  <c r="G86" i="265"/>
  <c r="A87" i="265"/>
  <c r="D86" i="264"/>
  <c r="B86" i="264"/>
  <c r="E86" i="264"/>
  <c r="C86" i="264"/>
  <c r="G86" i="264"/>
  <c r="A87" i="264"/>
  <c r="AB88" i="260"/>
  <c r="AA88" i="260"/>
  <c r="AD88" i="260" s="1"/>
  <c r="AC88" i="260"/>
  <c r="Z89" i="260"/>
  <c r="AD87" i="260"/>
  <c r="D96" i="253"/>
  <c r="C96" i="253"/>
  <c r="E96" i="253"/>
  <c r="B96" i="253"/>
  <c r="F96" i="253" s="1"/>
  <c r="A97" i="253"/>
  <c r="F95" i="253"/>
  <c r="B86" i="252"/>
  <c r="C86" i="252"/>
  <c r="D86" i="252"/>
  <c r="G86" i="252"/>
  <c r="A87" i="252"/>
  <c r="H85" i="252"/>
  <c r="I85" i="252"/>
  <c r="E85" i="252"/>
  <c r="F85" i="252"/>
  <c r="J85" i="252" s="1"/>
  <c r="F86" i="251"/>
  <c r="B86" i="251"/>
  <c r="C86" i="251"/>
  <c r="A87" i="251"/>
  <c r="D86" i="251"/>
  <c r="E86" i="251" s="1"/>
  <c r="G86" i="251"/>
  <c r="H85" i="251"/>
  <c r="I85" i="251"/>
  <c r="J85" i="251" s="1"/>
  <c r="E85" i="251"/>
  <c r="F85" i="251"/>
  <c r="AB88" i="210"/>
  <c r="AA88" i="210"/>
  <c r="AD88" i="210" s="1"/>
  <c r="AC88" i="210"/>
  <c r="Z89" i="210"/>
  <c r="M89" i="164"/>
  <c r="O89" i="164" s="1"/>
  <c r="N89" i="164"/>
  <c r="L90" i="164"/>
  <c r="AA88" i="156"/>
  <c r="AB88" i="156"/>
  <c r="Z89" i="156"/>
  <c r="AC88" i="156"/>
  <c r="AD87" i="156"/>
  <c r="G94" i="275" l="1"/>
  <c r="E94" i="275"/>
  <c r="F94" i="275"/>
  <c r="C94" i="275"/>
  <c r="D94" i="275"/>
  <c r="B94" i="275"/>
  <c r="A95" i="275"/>
  <c r="H93" i="275"/>
  <c r="B87" i="273"/>
  <c r="C87" i="273"/>
  <c r="D87" i="273"/>
  <c r="E87" i="273"/>
  <c r="A88" i="273"/>
  <c r="F86" i="273"/>
  <c r="D87" i="272"/>
  <c r="C87" i="272"/>
  <c r="E87" i="272"/>
  <c r="A88" i="272"/>
  <c r="B87" i="272"/>
  <c r="F86" i="272"/>
  <c r="B87" i="266"/>
  <c r="C87" i="266"/>
  <c r="E87" i="266"/>
  <c r="D87" i="266"/>
  <c r="A88" i="266"/>
  <c r="F86" i="266"/>
  <c r="C87" i="265"/>
  <c r="D87" i="265"/>
  <c r="E87" i="265"/>
  <c r="B87" i="265"/>
  <c r="F87" i="265" s="1"/>
  <c r="A88" i="265"/>
  <c r="G87" i="265"/>
  <c r="F86" i="265"/>
  <c r="H86" i="265" s="1"/>
  <c r="B87" i="264"/>
  <c r="D87" i="264"/>
  <c r="E87" i="264"/>
  <c r="C87" i="264"/>
  <c r="A88" i="264"/>
  <c r="G87" i="264"/>
  <c r="F86" i="264"/>
  <c r="H86" i="264" s="1"/>
  <c r="AB89" i="260"/>
  <c r="AA89" i="260"/>
  <c r="AD89" i="260" s="1"/>
  <c r="AC89" i="260"/>
  <c r="Z90" i="260"/>
  <c r="B97" i="253"/>
  <c r="D97" i="253"/>
  <c r="C97" i="253"/>
  <c r="E97" i="253"/>
  <c r="A98" i="253"/>
  <c r="B87" i="252"/>
  <c r="C87" i="252"/>
  <c r="D87" i="252"/>
  <c r="G87" i="252"/>
  <c r="A88" i="252"/>
  <c r="E86" i="252"/>
  <c r="F86" i="252"/>
  <c r="H86" i="252"/>
  <c r="I86" i="252"/>
  <c r="B87" i="251"/>
  <c r="C87" i="251"/>
  <c r="D87" i="251"/>
  <c r="A88" i="251"/>
  <c r="G87" i="251"/>
  <c r="H86" i="251"/>
  <c r="I86" i="251"/>
  <c r="J86" i="251" s="1"/>
  <c r="AB89" i="210"/>
  <c r="AA89" i="210"/>
  <c r="AD89" i="210" s="1"/>
  <c r="AC89" i="210"/>
  <c r="Z90" i="210"/>
  <c r="M90" i="164"/>
  <c r="O90" i="164" s="1"/>
  <c r="N90" i="164"/>
  <c r="L91" i="164"/>
  <c r="AB89" i="156"/>
  <c r="AA89" i="156"/>
  <c r="AC89" i="156"/>
  <c r="Z90" i="156"/>
  <c r="AD88" i="156"/>
  <c r="H94" i="275" l="1"/>
  <c r="F95" i="275"/>
  <c r="E95" i="275"/>
  <c r="G95" i="275"/>
  <c r="C95" i="275"/>
  <c r="B95" i="275"/>
  <c r="D95" i="275"/>
  <c r="A96" i="275"/>
  <c r="B88" i="273"/>
  <c r="C88" i="273"/>
  <c r="D88" i="273"/>
  <c r="E88" i="273"/>
  <c r="A89" i="273"/>
  <c r="F87" i="273"/>
  <c r="F87" i="272"/>
  <c r="B88" i="272"/>
  <c r="D88" i="272"/>
  <c r="A89" i="272"/>
  <c r="C88" i="272"/>
  <c r="E88" i="272"/>
  <c r="J86" i="252"/>
  <c r="C88" i="266"/>
  <c r="D88" i="266"/>
  <c r="B88" i="266"/>
  <c r="E88" i="266"/>
  <c r="A89" i="266"/>
  <c r="F87" i="266"/>
  <c r="B88" i="265"/>
  <c r="C88" i="265"/>
  <c r="D88" i="265"/>
  <c r="E88" i="265"/>
  <c r="G88" i="265"/>
  <c r="A89" i="265"/>
  <c r="H87" i="265"/>
  <c r="C88" i="264"/>
  <c r="B88" i="264"/>
  <c r="D88" i="264"/>
  <c r="E88" i="264"/>
  <c r="A89" i="264"/>
  <c r="G88" i="264"/>
  <c r="F87" i="264"/>
  <c r="H87" i="264" s="1"/>
  <c r="AB90" i="260"/>
  <c r="AA90" i="260"/>
  <c r="AD90" i="260" s="1"/>
  <c r="AC90" i="260"/>
  <c r="Z91" i="260"/>
  <c r="B98" i="253"/>
  <c r="E98" i="253"/>
  <c r="D98" i="253"/>
  <c r="C98" i="253"/>
  <c r="A99" i="253"/>
  <c r="F97" i="253"/>
  <c r="B88" i="252"/>
  <c r="C88" i="252"/>
  <c r="G88" i="252"/>
  <c r="A89" i="252"/>
  <c r="D88" i="252"/>
  <c r="E87" i="252"/>
  <c r="F87" i="252"/>
  <c r="J87" i="252" s="1"/>
  <c r="H87" i="252"/>
  <c r="I87" i="252"/>
  <c r="C88" i="251"/>
  <c r="B88" i="251"/>
  <c r="D88" i="251"/>
  <c r="G88" i="251"/>
  <c r="A89" i="251"/>
  <c r="E87" i="251"/>
  <c r="F87" i="251"/>
  <c r="J87" i="251" s="1"/>
  <c r="H87" i="251"/>
  <c r="I87" i="251"/>
  <c r="AA90" i="210"/>
  <c r="AB90" i="210"/>
  <c r="AC90" i="210"/>
  <c r="Z91" i="210"/>
  <c r="M91" i="164"/>
  <c r="O91" i="164" s="1"/>
  <c r="N91" i="164"/>
  <c r="L92" i="164"/>
  <c r="AB90" i="156"/>
  <c r="AA90" i="156"/>
  <c r="AC90" i="156"/>
  <c r="Z91" i="156"/>
  <c r="AD89" i="156"/>
  <c r="E96" i="275" l="1"/>
  <c r="F96" i="275"/>
  <c r="G96" i="275"/>
  <c r="B96" i="275"/>
  <c r="C96" i="275"/>
  <c r="D96" i="275"/>
  <c r="A97" i="275"/>
  <c r="H95" i="275"/>
  <c r="B89" i="273"/>
  <c r="C89" i="273"/>
  <c r="D89" i="273"/>
  <c r="E89" i="273"/>
  <c r="A90" i="273"/>
  <c r="F88" i="273"/>
  <c r="B89" i="272"/>
  <c r="C89" i="272"/>
  <c r="D89" i="272"/>
  <c r="E89" i="272"/>
  <c r="A90" i="272"/>
  <c r="F88" i="272"/>
  <c r="F88" i="266"/>
  <c r="C89" i="266"/>
  <c r="D89" i="266"/>
  <c r="B89" i="266"/>
  <c r="E89" i="266"/>
  <c r="A90" i="266"/>
  <c r="B89" i="265"/>
  <c r="C89" i="265"/>
  <c r="D89" i="265"/>
  <c r="E89" i="265"/>
  <c r="A90" i="265"/>
  <c r="G89" i="265"/>
  <c r="F88" i="265"/>
  <c r="H88" i="265" s="1"/>
  <c r="D89" i="264"/>
  <c r="E89" i="264"/>
  <c r="C89" i="264"/>
  <c r="B89" i="264"/>
  <c r="F89" i="264" s="1"/>
  <c r="H89" i="264" s="1"/>
  <c r="A90" i="264"/>
  <c r="G89" i="264"/>
  <c r="F88" i="264"/>
  <c r="H88" i="264" s="1"/>
  <c r="AB91" i="260"/>
  <c r="AA91" i="260"/>
  <c r="AC91" i="260"/>
  <c r="Z92" i="260"/>
  <c r="D99" i="253"/>
  <c r="E99" i="253"/>
  <c r="C99" i="253"/>
  <c r="B99" i="253"/>
  <c r="F99" i="253" s="1"/>
  <c r="A100" i="253"/>
  <c r="F98" i="253"/>
  <c r="B89" i="252"/>
  <c r="C89" i="252"/>
  <c r="D89" i="252"/>
  <c r="G89" i="252"/>
  <c r="A90" i="252"/>
  <c r="H88" i="252"/>
  <c r="I88" i="252"/>
  <c r="E88" i="252"/>
  <c r="F88" i="252"/>
  <c r="B89" i="251"/>
  <c r="C89" i="251"/>
  <c r="A90" i="251"/>
  <c r="D89" i="251"/>
  <c r="G89" i="251"/>
  <c r="E88" i="251"/>
  <c r="F88" i="251"/>
  <c r="H88" i="251"/>
  <c r="I88" i="251"/>
  <c r="AB91" i="210"/>
  <c r="AA91" i="210"/>
  <c r="AD91" i="210" s="1"/>
  <c r="AC91" i="210"/>
  <c r="Z92" i="210"/>
  <c r="AD90" i="210"/>
  <c r="M92" i="164"/>
  <c r="O92" i="164" s="1"/>
  <c r="L93" i="164"/>
  <c r="N92" i="164"/>
  <c r="AB91" i="156"/>
  <c r="AA91" i="156"/>
  <c r="AD91" i="156" s="1"/>
  <c r="Z92" i="156"/>
  <c r="AC91" i="156"/>
  <c r="AD90" i="156"/>
  <c r="H96" i="275" l="1"/>
  <c r="F97" i="275"/>
  <c r="C97" i="275"/>
  <c r="D97" i="275"/>
  <c r="B97" i="275"/>
  <c r="E97" i="275"/>
  <c r="G97" i="275"/>
  <c r="A98" i="275"/>
  <c r="B90" i="273"/>
  <c r="C90" i="273"/>
  <c r="D90" i="273"/>
  <c r="E90" i="273"/>
  <c r="A91" i="273"/>
  <c r="F89" i="273"/>
  <c r="B90" i="272"/>
  <c r="E90" i="272"/>
  <c r="A91" i="272"/>
  <c r="D90" i="272"/>
  <c r="C90" i="272"/>
  <c r="F89" i="272"/>
  <c r="J88" i="252"/>
  <c r="C90" i="266"/>
  <c r="B90" i="266"/>
  <c r="D90" i="266"/>
  <c r="E90" i="266"/>
  <c r="A91" i="266"/>
  <c r="F89" i="266"/>
  <c r="E90" i="265"/>
  <c r="D90" i="265"/>
  <c r="B90" i="265"/>
  <c r="F90" i="265" s="1"/>
  <c r="H90" i="265" s="1"/>
  <c r="C90" i="265"/>
  <c r="A91" i="265"/>
  <c r="G90" i="265"/>
  <c r="F89" i="265"/>
  <c r="H89" i="265" s="1"/>
  <c r="E90" i="264"/>
  <c r="D90" i="264"/>
  <c r="B90" i="264"/>
  <c r="F90" i="264" s="1"/>
  <c r="H90" i="264" s="1"/>
  <c r="C90" i="264"/>
  <c r="G90" i="264"/>
  <c r="A91" i="264"/>
  <c r="AB92" i="260"/>
  <c r="AA92" i="260"/>
  <c r="AC92" i="260"/>
  <c r="Z93" i="260"/>
  <c r="AD91" i="260"/>
  <c r="D100" i="253"/>
  <c r="C100" i="253"/>
  <c r="B100" i="253"/>
  <c r="E100" i="253"/>
  <c r="A101" i="253"/>
  <c r="B90" i="252"/>
  <c r="C90" i="252"/>
  <c r="D90" i="252"/>
  <c r="G90" i="252"/>
  <c r="A91" i="252"/>
  <c r="E89" i="252"/>
  <c r="F89" i="252"/>
  <c r="H89" i="252"/>
  <c r="I89" i="252"/>
  <c r="B90" i="251"/>
  <c r="C90" i="251"/>
  <c r="D90" i="251"/>
  <c r="G90" i="251"/>
  <c r="A91" i="251"/>
  <c r="J88" i="251"/>
  <c r="E89" i="251"/>
  <c r="F89" i="251"/>
  <c r="J89" i="251" s="1"/>
  <c r="H89" i="251"/>
  <c r="I89" i="251"/>
  <c r="AB92" i="210"/>
  <c r="AA92" i="210"/>
  <c r="AD92" i="210" s="1"/>
  <c r="AC92" i="210"/>
  <c r="Z93" i="210"/>
  <c r="L94" i="164"/>
  <c r="N93" i="164"/>
  <c r="M93" i="164"/>
  <c r="O93" i="164" s="1"/>
  <c r="AA92" i="156"/>
  <c r="AB92" i="156"/>
  <c r="Z93" i="156"/>
  <c r="AC92" i="156"/>
  <c r="B98" i="275" l="1"/>
  <c r="G98" i="275"/>
  <c r="F98" i="275"/>
  <c r="C98" i="275"/>
  <c r="D98" i="275"/>
  <c r="E98" i="275"/>
  <c r="A99" i="275"/>
  <c r="H97" i="275"/>
  <c r="C91" i="273"/>
  <c r="B91" i="273"/>
  <c r="D91" i="273"/>
  <c r="E91" i="273"/>
  <c r="A92" i="273"/>
  <c r="F90" i="273"/>
  <c r="F90" i="272"/>
  <c r="B91" i="272"/>
  <c r="C91" i="272"/>
  <c r="D91" i="272"/>
  <c r="E91" i="272"/>
  <c r="A92" i="272"/>
  <c r="F90" i="266"/>
  <c r="J89" i="252"/>
  <c r="B91" i="266"/>
  <c r="E91" i="266"/>
  <c r="D91" i="266"/>
  <c r="C91" i="266"/>
  <c r="A92" i="266"/>
  <c r="B91" i="265"/>
  <c r="C91" i="265"/>
  <c r="D91" i="265"/>
  <c r="E91" i="265"/>
  <c r="G91" i="265"/>
  <c r="A92" i="265"/>
  <c r="C91" i="264"/>
  <c r="D91" i="264"/>
  <c r="E91" i="264"/>
  <c r="B91" i="264"/>
  <c r="F91" i="264" s="1"/>
  <c r="H91" i="264" s="1"/>
  <c r="A92" i="264"/>
  <c r="G91" i="264"/>
  <c r="AB93" i="260"/>
  <c r="AA93" i="260"/>
  <c r="AC93" i="260"/>
  <c r="Z94" i="260"/>
  <c r="AD92" i="260"/>
  <c r="C101" i="253"/>
  <c r="E101" i="253"/>
  <c r="B101" i="253"/>
  <c r="D101" i="253"/>
  <c r="A102" i="253"/>
  <c r="F100" i="253"/>
  <c r="B91" i="252"/>
  <c r="C91" i="252"/>
  <c r="D91" i="252"/>
  <c r="G91" i="252"/>
  <c r="A92" i="252"/>
  <c r="E90" i="252"/>
  <c r="F90" i="252"/>
  <c r="H90" i="252"/>
  <c r="I90" i="252" s="1"/>
  <c r="J90" i="252" s="1"/>
  <c r="B91" i="251"/>
  <c r="C91" i="251"/>
  <c r="D91" i="251"/>
  <c r="A92" i="251"/>
  <c r="G91" i="251"/>
  <c r="E90" i="251"/>
  <c r="F90" i="251"/>
  <c r="J90" i="251" s="1"/>
  <c r="H90" i="251"/>
  <c r="I90" i="251"/>
  <c r="AB93" i="210"/>
  <c r="AA93" i="210"/>
  <c r="AC93" i="210"/>
  <c r="Z94" i="210"/>
  <c r="N94" i="164"/>
  <c r="L95" i="164"/>
  <c r="M94" i="164"/>
  <c r="O94" i="164" s="1"/>
  <c r="AB93" i="156"/>
  <c r="AA93" i="156"/>
  <c r="AD93" i="156" s="1"/>
  <c r="AC93" i="156"/>
  <c r="Z94" i="156"/>
  <c r="AD92" i="156"/>
  <c r="F99" i="275" l="1"/>
  <c r="B99" i="275"/>
  <c r="G99" i="275"/>
  <c r="E99" i="275"/>
  <c r="C99" i="275"/>
  <c r="D99" i="275"/>
  <c r="A100" i="275"/>
  <c r="H98" i="275"/>
  <c r="C92" i="273"/>
  <c r="B92" i="273"/>
  <c r="D92" i="273"/>
  <c r="E92" i="273"/>
  <c r="A93" i="273"/>
  <c r="F91" i="273"/>
  <c r="B92" i="272"/>
  <c r="C92" i="272"/>
  <c r="D92" i="272"/>
  <c r="E92" i="272"/>
  <c r="A93" i="272"/>
  <c r="F91" i="272"/>
  <c r="E92" i="266"/>
  <c r="B92" i="266"/>
  <c r="C92" i="266"/>
  <c r="D92" i="266"/>
  <c r="A93" i="266"/>
  <c r="F91" i="266"/>
  <c r="E92" i="265"/>
  <c r="B92" i="265"/>
  <c r="C92" i="265"/>
  <c r="D92" i="265"/>
  <c r="A93" i="265"/>
  <c r="G92" i="265"/>
  <c r="F91" i="265"/>
  <c r="H91" i="265" s="1"/>
  <c r="B92" i="264"/>
  <c r="F92" i="264" s="1"/>
  <c r="H92" i="264" s="1"/>
  <c r="D92" i="264"/>
  <c r="E92" i="264"/>
  <c r="C92" i="264"/>
  <c r="G92" i="264"/>
  <c r="A93" i="264"/>
  <c r="AB94" i="260"/>
  <c r="AA94" i="260"/>
  <c r="AC94" i="260"/>
  <c r="Z95" i="260"/>
  <c r="AD93" i="260"/>
  <c r="D102" i="253"/>
  <c r="B102" i="253"/>
  <c r="C102" i="253"/>
  <c r="E102" i="253"/>
  <c r="A103" i="253"/>
  <c r="F101" i="253"/>
  <c r="B92" i="252"/>
  <c r="C92" i="252"/>
  <c r="D92" i="252"/>
  <c r="G92" i="252"/>
  <c r="A93" i="252"/>
  <c r="E91" i="252"/>
  <c r="F91" i="252"/>
  <c r="H91" i="252"/>
  <c r="I91" i="252"/>
  <c r="B92" i="251"/>
  <c r="C92" i="251"/>
  <c r="A93" i="251"/>
  <c r="G92" i="251"/>
  <c r="D92" i="251"/>
  <c r="E91" i="251"/>
  <c r="F91" i="251"/>
  <c r="J91" i="251" s="1"/>
  <c r="H91" i="251"/>
  <c r="I91" i="251"/>
  <c r="AA94" i="210"/>
  <c r="AB94" i="210"/>
  <c r="AC94" i="210"/>
  <c r="Z95" i="210"/>
  <c r="AD93" i="210"/>
  <c r="L96" i="164"/>
  <c r="M95" i="164"/>
  <c r="O95" i="164" s="1"/>
  <c r="N95" i="164"/>
  <c r="AA94" i="156"/>
  <c r="AB94" i="156"/>
  <c r="AC94" i="156"/>
  <c r="Z95" i="156"/>
  <c r="F100" i="275" l="1"/>
  <c r="E100" i="275"/>
  <c r="B100" i="275"/>
  <c r="C100" i="275"/>
  <c r="D100" i="275"/>
  <c r="G100" i="275"/>
  <c r="A101" i="275"/>
  <c r="H99" i="275"/>
  <c r="D93" i="273"/>
  <c r="B93" i="273"/>
  <c r="C93" i="273"/>
  <c r="E93" i="273"/>
  <c r="A94" i="273"/>
  <c r="F92" i="273"/>
  <c r="F92" i="272"/>
  <c r="B93" i="272"/>
  <c r="C93" i="272"/>
  <c r="D93" i="272"/>
  <c r="E93" i="272"/>
  <c r="A94" i="272"/>
  <c r="F92" i="266"/>
  <c r="J91" i="252"/>
  <c r="B93" i="266"/>
  <c r="C93" i="266"/>
  <c r="E93" i="266"/>
  <c r="D93" i="266"/>
  <c r="A94" i="266"/>
  <c r="D93" i="265"/>
  <c r="B93" i="265"/>
  <c r="E93" i="265"/>
  <c r="C93" i="265"/>
  <c r="A94" i="265"/>
  <c r="G93" i="265"/>
  <c r="F92" i="265"/>
  <c r="H92" i="265" s="1"/>
  <c r="C93" i="264"/>
  <c r="B93" i="264"/>
  <c r="D93" i="264"/>
  <c r="E93" i="264"/>
  <c r="A94" i="264"/>
  <c r="G93" i="264"/>
  <c r="AA95" i="260"/>
  <c r="AB95" i="260"/>
  <c r="AC95" i="260"/>
  <c r="Z96" i="260"/>
  <c r="AD94" i="260"/>
  <c r="D103" i="253"/>
  <c r="C103" i="253"/>
  <c r="B103" i="253"/>
  <c r="F103" i="253" s="1"/>
  <c r="E103" i="253"/>
  <c r="A104" i="253"/>
  <c r="F102" i="253"/>
  <c r="B93" i="252"/>
  <c r="C93" i="252"/>
  <c r="D93" i="252"/>
  <c r="G93" i="252"/>
  <c r="A94" i="252"/>
  <c r="E92" i="252"/>
  <c r="F92" i="252"/>
  <c r="J92" i="252" s="1"/>
  <c r="H92" i="252"/>
  <c r="I92" i="252"/>
  <c r="B93" i="251"/>
  <c r="C93" i="251"/>
  <c r="G93" i="251"/>
  <c r="A94" i="251"/>
  <c r="D93" i="251"/>
  <c r="H92" i="251"/>
  <c r="I92" i="251"/>
  <c r="E92" i="251"/>
  <c r="F92" i="251"/>
  <c r="J92" i="251" s="1"/>
  <c r="AA95" i="210"/>
  <c r="AB95" i="210"/>
  <c r="AC95" i="210"/>
  <c r="Z96" i="210"/>
  <c r="AD94" i="210"/>
  <c r="M96" i="164"/>
  <c r="O96" i="164" s="1"/>
  <c r="N96" i="164"/>
  <c r="L97" i="164"/>
  <c r="AB95" i="156"/>
  <c r="AA95" i="156"/>
  <c r="Z96" i="156"/>
  <c r="AC95" i="156"/>
  <c r="AD94" i="156"/>
  <c r="E101" i="275" l="1"/>
  <c r="F101" i="275"/>
  <c r="G101" i="275"/>
  <c r="C101" i="275"/>
  <c r="D101" i="275"/>
  <c r="B101" i="275"/>
  <c r="A102" i="275"/>
  <c r="H100" i="275"/>
  <c r="E94" i="273"/>
  <c r="B94" i="273"/>
  <c r="C94" i="273"/>
  <c r="D94" i="273"/>
  <c r="A95" i="273"/>
  <c r="F93" i="273"/>
  <c r="B94" i="272"/>
  <c r="C94" i="272"/>
  <c r="D94" i="272"/>
  <c r="E94" i="272"/>
  <c r="A95" i="272"/>
  <c r="F93" i="272"/>
  <c r="AD95" i="156"/>
  <c r="E94" i="266"/>
  <c r="C94" i="266"/>
  <c r="B94" i="266"/>
  <c r="D94" i="266"/>
  <c r="A95" i="266"/>
  <c r="F93" i="266"/>
  <c r="C94" i="265"/>
  <c r="E94" i="265"/>
  <c r="B94" i="265"/>
  <c r="D94" i="265"/>
  <c r="A95" i="265"/>
  <c r="G94" i="265"/>
  <c r="F93" i="265"/>
  <c r="H93" i="265" s="1"/>
  <c r="C94" i="264"/>
  <c r="E94" i="264"/>
  <c r="D94" i="264"/>
  <c r="B94" i="264"/>
  <c r="F94" i="264" s="1"/>
  <c r="H94" i="264" s="1"/>
  <c r="G94" i="264"/>
  <c r="A95" i="264"/>
  <c r="F93" i="264"/>
  <c r="H93" i="264" s="1"/>
  <c r="AA96" i="260"/>
  <c r="AB96" i="260"/>
  <c r="AC96" i="260"/>
  <c r="Z97" i="260"/>
  <c r="AD95" i="260"/>
  <c r="D104" i="253"/>
  <c r="E104" i="253"/>
  <c r="B104" i="253"/>
  <c r="C104" i="253"/>
  <c r="B94" i="252"/>
  <c r="C94" i="252"/>
  <c r="D94" i="252"/>
  <c r="G94" i="252"/>
  <c r="A95" i="252"/>
  <c r="E93" i="252"/>
  <c r="F93" i="252"/>
  <c r="H93" i="252"/>
  <c r="I93" i="252"/>
  <c r="B94" i="251"/>
  <c r="C94" i="251"/>
  <c r="G94" i="251"/>
  <c r="D94" i="251"/>
  <c r="A95" i="251"/>
  <c r="H93" i="251"/>
  <c r="I93" i="251"/>
  <c r="E93" i="251"/>
  <c r="F93" i="251"/>
  <c r="J93" i="251" s="1"/>
  <c r="AB96" i="210"/>
  <c r="AA96" i="210"/>
  <c r="AD96" i="210" s="1"/>
  <c r="Z97" i="210"/>
  <c r="AC96" i="210"/>
  <c r="AD95" i="210"/>
  <c r="L98" i="164"/>
  <c r="M97" i="164"/>
  <c r="O97" i="164" s="1"/>
  <c r="N97" i="164"/>
  <c r="AA96" i="156"/>
  <c r="AB96" i="156"/>
  <c r="AC96" i="156"/>
  <c r="Z97" i="156"/>
  <c r="B102" i="275" l="1"/>
  <c r="F102" i="275"/>
  <c r="C102" i="275"/>
  <c r="D102" i="275"/>
  <c r="E102" i="275"/>
  <c r="G102" i="275"/>
  <c r="A103" i="275"/>
  <c r="H101" i="275"/>
  <c r="C95" i="273"/>
  <c r="B95" i="273"/>
  <c r="D95" i="273"/>
  <c r="E95" i="273"/>
  <c r="A96" i="273"/>
  <c r="F94" i="273"/>
  <c r="F94" i="272"/>
  <c r="B95" i="272"/>
  <c r="C95" i="272"/>
  <c r="D95" i="272"/>
  <c r="E95" i="272"/>
  <c r="A96" i="272"/>
  <c r="F94" i="266"/>
  <c r="J93" i="252"/>
  <c r="D95" i="266"/>
  <c r="C95" i="266"/>
  <c r="E95" i="266"/>
  <c r="B95" i="266"/>
  <c r="A96" i="266"/>
  <c r="D95" i="265"/>
  <c r="E95" i="265"/>
  <c r="B95" i="265"/>
  <c r="F95" i="265" s="1"/>
  <c r="H95" i="265" s="1"/>
  <c r="C95" i="265"/>
  <c r="G95" i="265"/>
  <c r="A96" i="265"/>
  <c r="F94" i="265"/>
  <c r="H94" i="265" s="1"/>
  <c r="E95" i="264"/>
  <c r="D95" i="264"/>
  <c r="B95" i="264"/>
  <c r="F95" i="264" s="1"/>
  <c r="H95" i="264" s="1"/>
  <c r="C95" i="264"/>
  <c r="A96" i="264"/>
  <c r="G95" i="264"/>
  <c r="AA97" i="260"/>
  <c r="AB97" i="260"/>
  <c r="AC97" i="260"/>
  <c r="Z98" i="260"/>
  <c r="AD96" i="260"/>
  <c r="F104" i="253"/>
  <c r="B95" i="252"/>
  <c r="C95" i="252"/>
  <c r="D95" i="252"/>
  <c r="G95" i="252"/>
  <c r="A96" i="252"/>
  <c r="E94" i="252"/>
  <c r="F94" i="252"/>
  <c r="H94" i="252"/>
  <c r="I94" i="252"/>
  <c r="B95" i="251"/>
  <c r="C95" i="251"/>
  <c r="D95" i="251"/>
  <c r="A96" i="251"/>
  <c r="G95" i="251"/>
  <c r="H94" i="251"/>
  <c r="I94" i="251"/>
  <c r="E94" i="251"/>
  <c r="F94" i="251"/>
  <c r="J94" i="251" s="1"/>
  <c r="AB97" i="210"/>
  <c r="AA97" i="210"/>
  <c r="AC97" i="210"/>
  <c r="Z98" i="210"/>
  <c r="M98" i="164"/>
  <c r="O98" i="164" s="1"/>
  <c r="L99" i="164"/>
  <c r="N98" i="164"/>
  <c r="AB97" i="156"/>
  <c r="AA97" i="156"/>
  <c r="AC97" i="156"/>
  <c r="Z98" i="156"/>
  <c r="AD96" i="156"/>
  <c r="F103" i="275" l="1"/>
  <c r="G103" i="275"/>
  <c r="B103" i="275"/>
  <c r="C103" i="275"/>
  <c r="D103" i="275"/>
  <c r="E103" i="275"/>
  <c r="A104" i="275"/>
  <c r="H102" i="275"/>
  <c r="F95" i="266"/>
  <c r="B96" i="273"/>
  <c r="E96" i="273"/>
  <c r="C96" i="273"/>
  <c r="D96" i="273"/>
  <c r="A97" i="273"/>
  <c r="F95" i="273"/>
  <c r="B96" i="272"/>
  <c r="C96" i="272"/>
  <c r="D96" i="272"/>
  <c r="E96" i="272"/>
  <c r="A97" i="272"/>
  <c r="F95" i="272"/>
  <c r="J94" i="252"/>
  <c r="B96" i="266"/>
  <c r="E96" i="266"/>
  <c r="C96" i="266"/>
  <c r="D96" i="266"/>
  <c r="A97" i="266"/>
  <c r="E96" i="265"/>
  <c r="D96" i="265"/>
  <c r="B96" i="265"/>
  <c r="F96" i="265" s="1"/>
  <c r="H96" i="265" s="1"/>
  <c r="C96" i="265"/>
  <c r="G96" i="265"/>
  <c r="A97" i="265"/>
  <c r="E96" i="264"/>
  <c r="D96" i="264"/>
  <c r="C96" i="264"/>
  <c r="B96" i="264"/>
  <c r="F96" i="264" s="1"/>
  <c r="H96" i="264" s="1"/>
  <c r="G96" i="264"/>
  <c r="A97" i="264"/>
  <c r="AB98" i="260"/>
  <c r="AA98" i="260"/>
  <c r="AD98" i="260" s="1"/>
  <c r="AC98" i="260"/>
  <c r="Z99" i="260"/>
  <c r="AD97" i="260"/>
  <c r="B96" i="252"/>
  <c r="C96" i="252"/>
  <c r="D96" i="252"/>
  <c r="G96" i="252"/>
  <c r="A97" i="252"/>
  <c r="E95" i="252"/>
  <c r="F95" i="252"/>
  <c r="H95" i="252"/>
  <c r="I95" i="252"/>
  <c r="B96" i="251"/>
  <c r="C96" i="251"/>
  <c r="D96" i="251"/>
  <c r="A97" i="251"/>
  <c r="G96" i="251"/>
  <c r="E95" i="251"/>
  <c r="F95" i="251"/>
  <c r="J95" i="251" s="1"/>
  <c r="H95" i="251"/>
  <c r="I95" i="251"/>
  <c r="AB98" i="210"/>
  <c r="AA98" i="210"/>
  <c r="AC98" i="210"/>
  <c r="Z99" i="210"/>
  <c r="AD97" i="210"/>
  <c r="N99" i="164"/>
  <c r="M99" i="164"/>
  <c r="O99" i="164" s="1"/>
  <c r="L100" i="164"/>
  <c r="AB98" i="156"/>
  <c r="AA98" i="156"/>
  <c r="AD98" i="156" s="1"/>
  <c r="AC98" i="156"/>
  <c r="Z99" i="156"/>
  <c r="AD97" i="156"/>
  <c r="G104" i="275" l="1"/>
  <c r="E104" i="275"/>
  <c r="C104" i="275"/>
  <c r="D104" i="275"/>
  <c r="B104" i="275"/>
  <c r="F104" i="275"/>
  <c r="H103" i="275"/>
  <c r="B97" i="273"/>
  <c r="C97" i="273"/>
  <c r="D97" i="273"/>
  <c r="E97" i="273"/>
  <c r="A98" i="273"/>
  <c r="F96" i="273"/>
  <c r="B97" i="272"/>
  <c r="E97" i="272"/>
  <c r="C97" i="272"/>
  <c r="D97" i="272"/>
  <c r="A98" i="272"/>
  <c r="F96" i="272"/>
  <c r="C97" i="266"/>
  <c r="B97" i="266"/>
  <c r="D97" i="266"/>
  <c r="E97" i="266"/>
  <c r="A98" i="266"/>
  <c r="F96" i="266"/>
  <c r="B97" i="265"/>
  <c r="C97" i="265"/>
  <c r="D97" i="265"/>
  <c r="E97" i="265"/>
  <c r="A98" i="265"/>
  <c r="G97" i="265"/>
  <c r="D97" i="264"/>
  <c r="E97" i="264"/>
  <c r="B97" i="264"/>
  <c r="C97" i="264"/>
  <c r="G97" i="264"/>
  <c r="A98" i="264"/>
  <c r="AB99" i="260"/>
  <c r="AA99" i="260"/>
  <c r="AD99" i="260" s="1"/>
  <c r="AC99" i="260"/>
  <c r="Z100" i="260"/>
  <c r="B97" i="252"/>
  <c r="C97" i="252"/>
  <c r="D97" i="252"/>
  <c r="G97" i="252"/>
  <c r="A98" i="252"/>
  <c r="J95" i="252"/>
  <c r="E96" i="252"/>
  <c r="F96" i="252"/>
  <c r="H96" i="252"/>
  <c r="I96" i="252"/>
  <c r="B97" i="251"/>
  <c r="C97" i="251"/>
  <c r="D97" i="251"/>
  <c r="G97" i="251"/>
  <c r="A98" i="251"/>
  <c r="E96" i="251"/>
  <c r="F96" i="251"/>
  <c r="J96" i="251" s="1"/>
  <c r="H96" i="251"/>
  <c r="I96" i="251"/>
  <c r="AB99" i="210"/>
  <c r="AA99" i="210"/>
  <c r="AD99" i="210" s="1"/>
  <c r="AC99" i="210"/>
  <c r="Z100" i="210"/>
  <c r="AD98" i="210"/>
  <c r="N100" i="164"/>
  <c r="M100" i="164"/>
  <c r="O100" i="164" s="1"/>
  <c r="L101" i="164"/>
  <c r="AA99" i="156"/>
  <c r="AB99" i="156"/>
  <c r="AC99" i="156"/>
  <c r="Z100" i="156"/>
  <c r="H104" i="275" l="1"/>
  <c r="C98" i="273"/>
  <c r="D98" i="273"/>
  <c r="E98" i="273"/>
  <c r="B98" i="273"/>
  <c r="A99" i="273"/>
  <c r="F97" i="273"/>
  <c r="E98" i="272"/>
  <c r="B98" i="272"/>
  <c r="C98" i="272"/>
  <c r="D98" i="272"/>
  <c r="A99" i="272"/>
  <c r="F97" i="272"/>
  <c r="F97" i="266"/>
  <c r="J96" i="252"/>
  <c r="C98" i="266"/>
  <c r="E98" i="266"/>
  <c r="B98" i="266"/>
  <c r="D98" i="266"/>
  <c r="A99" i="266"/>
  <c r="B98" i="265"/>
  <c r="F98" i="265" s="1"/>
  <c r="H98" i="265" s="1"/>
  <c r="E98" i="265"/>
  <c r="C98" i="265"/>
  <c r="D98" i="265"/>
  <c r="G98" i="265"/>
  <c r="A99" i="265"/>
  <c r="F97" i="265"/>
  <c r="H97" i="265" s="1"/>
  <c r="D98" i="264"/>
  <c r="E98" i="264"/>
  <c r="B98" i="264"/>
  <c r="C98" i="264"/>
  <c r="G98" i="264"/>
  <c r="A99" i="264"/>
  <c r="F97" i="264"/>
  <c r="H97" i="264" s="1"/>
  <c r="AB100" i="260"/>
  <c r="AA100" i="260"/>
  <c r="AC100" i="260"/>
  <c r="Z101" i="260"/>
  <c r="B98" i="252"/>
  <c r="C98" i="252"/>
  <c r="D98" i="252"/>
  <c r="G98" i="252"/>
  <c r="A99" i="252"/>
  <c r="E97" i="252"/>
  <c r="F97" i="252"/>
  <c r="H97" i="252"/>
  <c r="I97" i="252"/>
  <c r="B98" i="251"/>
  <c r="C98" i="251"/>
  <c r="D98" i="251"/>
  <c r="G98" i="251"/>
  <c r="A99" i="251"/>
  <c r="E97" i="251"/>
  <c r="F97" i="251"/>
  <c r="J97" i="251" s="1"/>
  <c r="H97" i="251"/>
  <c r="I97" i="251"/>
  <c r="AA100" i="210"/>
  <c r="AB100" i="210"/>
  <c r="AC100" i="210"/>
  <c r="Z101" i="210"/>
  <c r="M101" i="164"/>
  <c r="O101" i="164" s="1"/>
  <c r="L102" i="164"/>
  <c r="N101" i="164"/>
  <c r="AA100" i="156"/>
  <c r="AB100" i="156"/>
  <c r="AC100" i="156"/>
  <c r="Z101" i="156"/>
  <c r="AD99" i="156"/>
  <c r="F98" i="273" l="1"/>
  <c r="C99" i="273"/>
  <c r="D99" i="273"/>
  <c r="E99" i="273"/>
  <c r="B99" i="273"/>
  <c r="A100" i="273"/>
  <c r="E99" i="272"/>
  <c r="D99" i="272"/>
  <c r="B99" i="272"/>
  <c r="C99" i="272"/>
  <c r="A100" i="272"/>
  <c r="F98" i="272"/>
  <c r="J97" i="252"/>
  <c r="B99" i="266"/>
  <c r="C99" i="266"/>
  <c r="D99" i="266"/>
  <c r="E99" i="266"/>
  <c r="A100" i="266"/>
  <c r="F98" i="266"/>
  <c r="D99" i="265"/>
  <c r="B99" i="265"/>
  <c r="E99" i="265"/>
  <c r="C99" i="265"/>
  <c r="G99" i="265"/>
  <c r="A100" i="265"/>
  <c r="C99" i="264"/>
  <c r="D99" i="264"/>
  <c r="E99" i="264"/>
  <c r="B99" i="264"/>
  <c r="F99" i="264" s="1"/>
  <c r="G99" i="264"/>
  <c r="A100" i="264"/>
  <c r="F98" i="264"/>
  <c r="H98" i="264" s="1"/>
  <c r="AB101" i="260"/>
  <c r="AA101" i="260"/>
  <c r="AD101" i="260" s="1"/>
  <c r="AC101" i="260"/>
  <c r="Z102" i="260"/>
  <c r="AD100" i="260"/>
  <c r="C99" i="252"/>
  <c r="B99" i="252"/>
  <c r="D99" i="252"/>
  <c r="G99" i="252"/>
  <c r="A100" i="252"/>
  <c r="E98" i="252"/>
  <c r="F98" i="252"/>
  <c r="H98" i="252"/>
  <c r="I98" i="252"/>
  <c r="B99" i="251"/>
  <c r="C99" i="251"/>
  <c r="G99" i="251"/>
  <c r="D99" i="251"/>
  <c r="A100" i="251"/>
  <c r="E98" i="251"/>
  <c r="F98" i="251"/>
  <c r="H98" i="251"/>
  <c r="I98" i="251"/>
  <c r="AA101" i="210"/>
  <c r="AB101" i="210"/>
  <c r="AC101" i="210"/>
  <c r="Z102" i="210"/>
  <c r="AD100" i="210"/>
  <c r="N102" i="164"/>
  <c r="L103" i="164"/>
  <c r="M102" i="164"/>
  <c r="O102" i="164" s="1"/>
  <c r="AB101" i="156"/>
  <c r="AA101" i="156"/>
  <c r="AD101" i="156" s="1"/>
  <c r="AC101" i="156"/>
  <c r="Z102" i="156"/>
  <c r="AD100" i="156"/>
  <c r="C100" i="273" l="1"/>
  <c r="E100" i="273"/>
  <c r="D100" i="273"/>
  <c r="B100" i="273"/>
  <c r="A101" i="273"/>
  <c r="F99" i="273"/>
  <c r="F99" i="272"/>
  <c r="E100" i="272"/>
  <c r="D100" i="272"/>
  <c r="B100" i="272"/>
  <c r="C100" i="272"/>
  <c r="A101" i="272"/>
  <c r="D100" i="266"/>
  <c r="B100" i="266"/>
  <c r="C100" i="266"/>
  <c r="E100" i="266"/>
  <c r="A101" i="266"/>
  <c r="F99" i="266"/>
  <c r="C100" i="265"/>
  <c r="D100" i="265"/>
  <c r="E100" i="265"/>
  <c r="B100" i="265"/>
  <c r="F100" i="265" s="1"/>
  <c r="H100" i="265" s="1"/>
  <c r="G100" i="265"/>
  <c r="A101" i="265"/>
  <c r="F99" i="265"/>
  <c r="H99" i="265" s="1"/>
  <c r="E100" i="264"/>
  <c r="D100" i="264"/>
  <c r="B100" i="264"/>
  <c r="F100" i="264" s="1"/>
  <c r="H100" i="264" s="1"/>
  <c r="C100" i="264"/>
  <c r="G100" i="264"/>
  <c r="A101" i="264"/>
  <c r="H99" i="264"/>
  <c r="AB102" i="260"/>
  <c r="AA102" i="260"/>
  <c r="AC102" i="260"/>
  <c r="Z103" i="260"/>
  <c r="C100" i="252"/>
  <c r="B100" i="252"/>
  <c r="D100" i="252"/>
  <c r="G100" i="252"/>
  <c r="A101" i="252"/>
  <c r="J98" i="252"/>
  <c r="E99" i="252"/>
  <c r="F99" i="252"/>
  <c r="H99" i="252"/>
  <c r="I99" i="252" s="1"/>
  <c r="B100" i="251"/>
  <c r="C100" i="251"/>
  <c r="D100" i="251"/>
  <c r="G100" i="251"/>
  <c r="A101" i="251"/>
  <c r="J98" i="251"/>
  <c r="H99" i="251"/>
  <c r="I99" i="251"/>
  <c r="E99" i="251"/>
  <c r="F99" i="251"/>
  <c r="J99" i="251" s="1"/>
  <c r="AA102" i="210"/>
  <c r="AB102" i="210"/>
  <c r="AC102" i="210"/>
  <c r="Z103" i="210"/>
  <c r="AD101" i="210"/>
  <c r="M103" i="164"/>
  <c r="O103" i="164" s="1"/>
  <c r="L104" i="164"/>
  <c r="N103" i="164"/>
  <c r="AA102" i="156"/>
  <c r="AB102" i="156"/>
  <c r="AC102" i="156"/>
  <c r="Z103" i="156"/>
  <c r="F100" i="273" l="1"/>
  <c r="D101" i="273"/>
  <c r="C101" i="273"/>
  <c r="E101" i="273"/>
  <c r="B101" i="273"/>
  <c r="A102" i="273"/>
  <c r="F100" i="272"/>
  <c r="D101" i="272"/>
  <c r="E101" i="272"/>
  <c r="B101" i="272"/>
  <c r="C101" i="272"/>
  <c r="A102" i="272"/>
  <c r="J99" i="252"/>
  <c r="D101" i="266"/>
  <c r="C101" i="266"/>
  <c r="B101" i="266"/>
  <c r="E101" i="266"/>
  <c r="A102" i="266"/>
  <c r="F100" i="266"/>
  <c r="D101" i="265"/>
  <c r="E101" i="265"/>
  <c r="B101" i="265"/>
  <c r="F101" i="265" s="1"/>
  <c r="H101" i="265" s="1"/>
  <c r="C101" i="265"/>
  <c r="G101" i="265"/>
  <c r="A102" i="265"/>
  <c r="D101" i="264"/>
  <c r="E101" i="264"/>
  <c r="C101" i="264"/>
  <c r="B101" i="264"/>
  <c r="F101" i="264" s="1"/>
  <c r="H101" i="264" s="1"/>
  <c r="G101" i="264"/>
  <c r="A102" i="264"/>
  <c r="AA103" i="260"/>
  <c r="AB103" i="260"/>
  <c r="AC103" i="260"/>
  <c r="Z104" i="260"/>
  <c r="AD102" i="260"/>
  <c r="C101" i="252"/>
  <c r="B101" i="252"/>
  <c r="D101" i="252"/>
  <c r="G101" i="252"/>
  <c r="A102" i="252"/>
  <c r="E100" i="252"/>
  <c r="F100" i="252"/>
  <c r="H100" i="252"/>
  <c r="I100" i="252"/>
  <c r="B101" i="251"/>
  <c r="C101" i="251"/>
  <c r="G101" i="251"/>
  <c r="A102" i="251"/>
  <c r="D101" i="251"/>
  <c r="E100" i="251"/>
  <c r="F100" i="251"/>
  <c r="J100" i="251" s="1"/>
  <c r="H100" i="251"/>
  <c r="I100" i="251"/>
  <c r="AB103" i="210"/>
  <c r="AA103" i="210"/>
  <c r="AC103" i="210"/>
  <c r="Z104" i="210"/>
  <c r="AD102" i="210"/>
  <c r="L105" i="164"/>
  <c r="M104" i="164"/>
  <c r="O104" i="164" s="1"/>
  <c r="N104" i="164"/>
  <c r="AB103" i="156"/>
  <c r="AA103" i="156"/>
  <c r="AC103" i="156"/>
  <c r="Z104" i="156"/>
  <c r="AD102" i="156"/>
  <c r="F101" i="273" l="1"/>
  <c r="E102" i="273"/>
  <c r="C102" i="273"/>
  <c r="D102" i="273"/>
  <c r="B102" i="273"/>
  <c r="A103" i="273"/>
  <c r="D102" i="272"/>
  <c r="E102" i="272"/>
  <c r="B102" i="272"/>
  <c r="C102" i="272"/>
  <c r="A103" i="272"/>
  <c r="F101" i="272"/>
  <c r="AD103" i="156"/>
  <c r="C102" i="266"/>
  <c r="D102" i="266"/>
  <c r="B102" i="266"/>
  <c r="E102" i="266"/>
  <c r="A103" i="266"/>
  <c r="F101" i="266"/>
  <c r="C102" i="265"/>
  <c r="B102" i="265"/>
  <c r="E102" i="265"/>
  <c r="D102" i="265"/>
  <c r="G102" i="265"/>
  <c r="A103" i="265"/>
  <c r="E102" i="264"/>
  <c r="C102" i="264"/>
  <c r="D102" i="264"/>
  <c r="B102" i="264"/>
  <c r="F102" i="264" s="1"/>
  <c r="H102" i="264" s="1"/>
  <c r="G102" i="264"/>
  <c r="A103" i="264"/>
  <c r="AB104" i="260"/>
  <c r="AA104" i="260"/>
  <c r="AC104" i="260"/>
  <c r="Z105" i="260"/>
  <c r="AD103" i="260"/>
  <c r="C102" i="252"/>
  <c r="B102" i="252"/>
  <c r="D102" i="252"/>
  <c r="G102" i="252"/>
  <c r="A103" i="252"/>
  <c r="J100" i="252"/>
  <c r="E101" i="252"/>
  <c r="F101" i="252"/>
  <c r="H101" i="252"/>
  <c r="I101" i="252"/>
  <c r="B102" i="251"/>
  <c r="C102" i="251"/>
  <c r="G102" i="251"/>
  <c r="D102" i="251"/>
  <c r="A103" i="251"/>
  <c r="H101" i="251"/>
  <c r="I101" i="251"/>
  <c r="E101" i="251"/>
  <c r="F101" i="251"/>
  <c r="J101" i="251" s="1"/>
  <c r="AA104" i="210"/>
  <c r="AB104" i="210"/>
  <c r="Z105" i="210"/>
  <c r="AC104" i="210"/>
  <c r="AD103" i="210"/>
  <c r="M105" i="164"/>
  <c r="O105" i="164" s="1"/>
  <c r="L106" i="164"/>
  <c r="N105" i="164"/>
  <c r="AB104" i="156"/>
  <c r="AA104" i="156"/>
  <c r="AC104" i="156"/>
  <c r="Z105" i="156"/>
  <c r="C103" i="273" l="1"/>
  <c r="D103" i="273"/>
  <c r="B103" i="273"/>
  <c r="E103" i="273"/>
  <c r="A104" i="273"/>
  <c r="F102" i="273"/>
  <c r="D103" i="272"/>
  <c r="E103" i="272"/>
  <c r="B103" i="272"/>
  <c r="C103" i="272"/>
  <c r="A104" i="272"/>
  <c r="F102" i="272"/>
  <c r="F102" i="266"/>
  <c r="D103" i="266"/>
  <c r="B103" i="266"/>
  <c r="C103" i="266"/>
  <c r="E103" i="266"/>
  <c r="A104" i="266"/>
  <c r="E103" i="265"/>
  <c r="D103" i="265"/>
  <c r="B103" i="265"/>
  <c r="C103" i="265"/>
  <c r="G103" i="265"/>
  <c r="A104" i="265"/>
  <c r="F102" i="265"/>
  <c r="H102" i="265" s="1"/>
  <c r="D103" i="264"/>
  <c r="E103" i="264"/>
  <c r="B103" i="264"/>
  <c r="C103" i="264"/>
  <c r="G103" i="264"/>
  <c r="A104" i="264"/>
  <c r="AA105" i="260"/>
  <c r="AB105" i="260"/>
  <c r="AC105" i="260"/>
  <c r="Z106" i="260"/>
  <c r="AD104" i="260"/>
  <c r="C103" i="252"/>
  <c r="B103" i="252"/>
  <c r="D103" i="252"/>
  <c r="G103" i="252"/>
  <c r="A104" i="252"/>
  <c r="J101" i="252"/>
  <c r="E102" i="252"/>
  <c r="F102" i="252" s="1"/>
  <c r="J102" i="252" s="1"/>
  <c r="H102" i="252"/>
  <c r="I102" i="252"/>
  <c r="B103" i="251"/>
  <c r="C103" i="251"/>
  <c r="D103" i="251"/>
  <c r="A104" i="251"/>
  <c r="G103" i="251"/>
  <c r="H102" i="251"/>
  <c r="I102" i="251"/>
  <c r="E102" i="251"/>
  <c r="F102" i="251"/>
  <c r="AA105" i="210"/>
  <c r="AB105" i="210"/>
  <c r="Z106" i="210"/>
  <c r="AC105" i="210"/>
  <c r="AD104" i="210"/>
  <c r="L107" i="164"/>
  <c r="N106" i="164"/>
  <c r="M106" i="164"/>
  <c r="O106" i="164" s="1"/>
  <c r="AA105" i="156"/>
  <c r="AB105" i="156"/>
  <c r="AC105" i="156"/>
  <c r="Z106" i="156"/>
  <c r="AD104" i="156"/>
  <c r="C104" i="273" l="1"/>
  <c r="B104" i="273"/>
  <c r="D104" i="273"/>
  <c r="E104" i="273"/>
  <c r="F103" i="273"/>
  <c r="F103" i="272"/>
  <c r="D104" i="272"/>
  <c r="E104" i="272"/>
  <c r="B104" i="272"/>
  <c r="C104" i="272"/>
  <c r="F103" i="266"/>
  <c r="C104" i="266"/>
  <c r="B104" i="266"/>
  <c r="D104" i="266"/>
  <c r="E104" i="266"/>
  <c r="B104" i="265"/>
  <c r="C104" i="265"/>
  <c r="E104" i="265"/>
  <c r="D104" i="265"/>
  <c r="G104" i="265"/>
  <c r="F103" i="265"/>
  <c r="H103" i="265" s="1"/>
  <c r="E104" i="264"/>
  <c r="D104" i="264"/>
  <c r="C104" i="264"/>
  <c r="B104" i="264"/>
  <c r="G104" i="264"/>
  <c r="F103" i="264"/>
  <c r="H103" i="264" s="1"/>
  <c r="AB106" i="260"/>
  <c r="AA106" i="260"/>
  <c r="AC106" i="260"/>
  <c r="AD105" i="260"/>
  <c r="C104" i="252"/>
  <c r="B104" i="252"/>
  <c r="D104" i="252"/>
  <c r="G104" i="252"/>
  <c r="E103" i="252"/>
  <c r="F103" i="252"/>
  <c r="H103" i="252"/>
  <c r="I103" i="252"/>
  <c r="C104" i="251"/>
  <c r="B104" i="251"/>
  <c r="D104" i="251"/>
  <c r="G104" i="251"/>
  <c r="J102" i="251"/>
  <c r="E103" i="251"/>
  <c r="F103" i="251"/>
  <c r="J103" i="251" s="1"/>
  <c r="H103" i="251"/>
  <c r="I103" i="251"/>
  <c r="AA106" i="210"/>
  <c r="AB106" i="210"/>
  <c r="AC106" i="210"/>
  <c r="AD105" i="210"/>
  <c r="M107" i="164"/>
  <c r="O107" i="164" s="1"/>
  <c r="L108" i="164"/>
  <c r="N107" i="164"/>
  <c r="AB106" i="156"/>
  <c r="AA106" i="156"/>
  <c r="AC106" i="156"/>
  <c r="AD105" i="156"/>
  <c r="F104" i="273" l="1"/>
  <c r="F104" i="272"/>
  <c r="F104" i="266"/>
  <c r="K17" i="266"/>
  <c r="F104" i="265"/>
  <c r="H104" i="265" s="1"/>
  <c r="F104" i="264"/>
  <c r="H104" i="264" s="1"/>
  <c r="AD106" i="260"/>
  <c r="J103" i="252"/>
  <c r="E104" i="252"/>
  <c r="F104" i="252"/>
  <c r="J104" i="252" s="1"/>
  <c r="H104" i="252"/>
  <c r="I104" i="252"/>
  <c r="E104" i="251"/>
  <c r="F104" i="251"/>
  <c r="J104" i="251" s="1"/>
  <c r="H104" i="251"/>
  <c r="I104" i="251"/>
  <c r="AD106" i="210"/>
  <c r="L109" i="164"/>
  <c r="M108" i="164"/>
  <c r="O108" i="164" s="1"/>
  <c r="N108" i="164"/>
  <c r="AD106" i="156"/>
  <c r="G104" i="266" l="1"/>
  <c r="H104" i="266" s="1"/>
  <c r="G103" i="266"/>
  <c r="H103" i="266" s="1"/>
  <c r="G102" i="266"/>
  <c r="H102" i="266" s="1"/>
  <c r="G101" i="266"/>
  <c r="H101" i="266" s="1"/>
  <c r="G100" i="266"/>
  <c r="H100" i="266" s="1"/>
  <c r="G99" i="266"/>
  <c r="H99" i="266" s="1"/>
  <c r="G98" i="266"/>
  <c r="H98" i="266" s="1"/>
  <c r="G97" i="266"/>
  <c r="H97" i="266" s="1"/>
  <c r="G96" i="266"/>
  <c r="H96" i="266" s="1"/>
  <c r="G95" i="266"/>
  <c r="H95" i="266" s="1"/>
  <c r="G94" i="266"/>
  <c r="H94" i="266" s="1"/>
  <c r="G93" i="266"/>
  <c r="H93" i="266" s="1"/>
  <c r="G92" i="266"/>
  <c r="H92" i="266" s="1"/>
  <c r="G91" i="266"/>
  <c r="H91" i="266" s="1"/>
  <c r="G90" i="266"/>
  <c r="H90" i="266" s="1"/>
  <c r="G89" i="266"/>
  <c r="H89" i="266" s="1"/>
  <c r="G88" i="266"/>
  <c r="H88" i="266" s="1"/>
  <c r="G87" i="266"/>
  <c r="H87" i="266" s="1"/>
  <c r="G86" i="266"/>
  <c r="H86" i="266" s="1"/>
  <c r="G85" i="266"/>
  <c r="H85" i="266" s="1"/>
  <c r="G84" i="266"/>
  <c r="H84" i="266" s="1"/>
  <c r="G83" i="266"/>
  <c r="H83" i="266" s="1"/>
  <c r="G82" i="266"/>
  <c r="H82" i="266" s="1"/>
  <c r="G81" i="266"/>
  <c r="H81" i="266" s="1"/>
  <c r="G80" i="266"/>
  <c r="H80" i="266" s="1"/>
  <c r="G79" i="266"/>
  <c r="H79" i="266" s="1"/>
  <c r="G78" i="266"/>
  <c r="H78" i="266" s="1"/>
  <c r="G77" i="266"/>
  <c r="H77" i="266" s="1"/>
  <c r="G76" i="266"/>
  <c r="H76" i="266" s="1"/>
  <c r="G75" i="266"/>
  <c r="H75" i="266" s="1"/>
  <c r="G74" i="266"/>
  <c r="H74" i="266" s="1"/>
  <c r="M109" i="164"/>
  <c r="O109" i="164" s="1"/>
  <c r="N109" i="164"/>
  <c r="L110" i="164"/>
  <c r="N110" i="164" l="1"/>
  <c r="M110" i="164"/>
  <c r="O110" i="164" s="1"/>
  <c r="L111" i="164"/>
  <c r="M111" i="164" l="1"/>
  <c r="O111" i="164" s="1"/>
  <c r="L112" i="164"/>
  <c r="N111" i="164"/>
  <c r="N112" i="164" l="1"/>
  <c r="L113" i="164"/>
  <c r="M112" i="164"/>
  <c r="O112" i="164" s="1"/>
  <c r="M113" i="164" l="1"/>
  <c r="O113" i="164" s="1"/>
  <c r="N113" i="164"/>
  <c r="L114" i="164"/>
  <c r="M114" i="164" l="1"/>
  <c r="O114" i="164" s="1"/>
  <c r="N114" i="164"/>
  <c r="L115" i="164"/>
  <c r="M115" i="164" l="1"/>
  <c r="O115" i="164" s="1"/>
  <c r="N115" i="164"/>
  <c r="L116" i="164"/>
  <c r="M116" i="164" l="1"/>
  <c r="O116" i="164" s="1"/>
  <c r="N116" i="164"/>
  <c r="L117" i="164"/>
  <c r="L118" i="164" l="1"/>
  <c r="M117" i="164"/>
  <c r="O117" i="164" s="1"/>
  <c r="N117" i="164"/>
  <c r="N118" i="164" l="1"/>
  <c r="L119" i="164"/>
  <c r="M118" i="164"/>
  <c r="O118" i="164" s="1"/>
  <c r="M119" i="164" l="1"/>
  <c r="O119" i="164" s="1"/>
  <c r="N119" i="164"/>
  <c r="L120" i="164"/>
  <c r="D3" i="107"/>
  <c r="D2" i="107"/>
  <c r="D3" i="106"/>
  <c r="D2" i="106"/>
  <c r="M120" i="164" l="1"/>
  <c r="O120" i="164" s="1"/>
  <c r="N120" i="164"/>
  <c r="L121" i="164"/>
  <c r="M121" i="164" l="1"/>
  <c r="O121" i="164" s="1"/>
  <c r="L122" i="164"/>
  <c r="N121" i="164"/>
  <c r="M122" i="164" l="1"/>
  <c r="O122" i="164" s="1"/>
  <c r="N122" i="164"/>
  <c r="L123" i="164"/>
  <c r="M123" i="164" l="1"/>
  <c r="O123" i="164" s="1"/>
  <c r="N123" i="164"/>
  <c r="L124" i="164"/>
  <c r="M124" i="164" l="1"/>
  <c r="O124" i="164" s="1"/>
  <c r="N124" i="164"/>
  <c r="L125" i="164"/>
  <c r="M125" i="164" l="1"/>
  <c r="O125" i="164" s="1"/>
  <c r="N125" i="164"/>
  <c r="L126" i="164"/>
  <c r="M126" i="164" l="1"/>
  <c r="O126" i="164" s="1"/>
  <c r="N126" i="164"/>
  <c r="L127" i="164"/>
  <c r="M127" i="164" l="1"/>
  <c r="O127" i="164" s="1"/>
  <c r="N127" i="164"/>
  <c r="L128" i="164"/>
  <c r="M128" i="164" l="1"/>
  <c r="O128" i="164" s="1"/>
  <c r="C10" i="164" s="1"/>
  <c r="N128" i="164"/>
  <c r="L129" i="164"/>
  <c r="M129" i="164" l="1"/>
  <c r="O129" i="164" s="1"/>
  <c r="N129" i="164"/>
  <c r="K3" i="151" l="1"/>
  <c r="F4" i="151" s="1"/>
  <c r="G4" i="151" l="1"/>
  <c r="H4" i="151" s="1"/>
  <c r="I4" i="151"/>
  <c r="J4" i="151" l="1"/>
  <c r="L4" i="151" s="1"/>
  <c r="K4" i="151" s="1"/>
  <c r="F5" i="151" s="1"/>
  <c r="G5" i="151" l="1"/>
  <c r="H5" i="151" s="1"/>
  <c r="I5" i="151"/>
  <c r="J5" i="151" l="1"/>
  <c r="L5" i="151" s="1"/>
  <c r="K5" i="151" s="1"/>
  <c r="F6" i="151" s="1"/>
  <c r="G6" i="151" l="1"/>
  <c r="H6" i="151" s="1"/>
  <c r="I6" i="151"/>
  <c r="J6" i="151" l="1"/>
  <c r="L6" i="151" s="1"/>
  <c r="K6" i="151" s="1"/>
  <c r="F7" i="151" s="1"/>
  <c r="I7" i="151" l="1"/>
  <c r="G7" i="151"/>
  <c r="H7" i="151" s="1"/>
  <c r="J7" i="151" l="1"/>
  <c r="L7" i="151" s="1"/>
  <c r="K7" i="151" s="1"/>
  <c r="F8" i="151" s="1"/>
  <c r="G8" i="151" l="1"/>
  <c r="H8" i="151" s="1"/>
  <c r="I8" i="151"/>
  <c r="J8" i="151" l="1"/>
  <c r="L8" i="151" s="1"/>
  <c r="K8" i="151" s="1"/>
  <c r="F9" i="151" s="1"/>
  <c r="I9" i="151" l="1"/>
  <c r="G9" i="151"/>
  <c r="H9" i="151" s="1"/>
  <c r="J9" i="151" l="1"/>
  <c r="L9" i="151" s="1"/>
  <c r="K9" i="151" s="1"/>
  <c r="F10" i="151" s="1"/>
  <c r="I10" i="151" l="1"/>
  <c r="G10" i="151"/>
  <c r="H10" i="151" s="1"/>
  <c r="J10" i="151" l="1"/>
  <c r="L10" i="151" s="1"/>
  <c r="K10" i="151" s="1"/>
  <c r="F11" i="151" s="1"/>
  <c r="G11" i="151" l="1"/>
  <c r="H11" i="151" s="1"/>
  <c r="I11" i="151"/>
  <c r="J11" i="151" l="1"/>
  <c r="L11" i="151" s="1"/>
  <c r="K11" i="151" s="1"/>
  <c r="F12" i="151" s="1"/>
  <c r="I12" i="151" l="1"/>
  <c r="G12" i="151"/>
  <c r="H12" i="151" s="1"/>
  <c r="J12" i="151" l="1"/>
  <c r="L12" i="151" s="1"/>
  <c r="K12" i="151" s="1"/>
  <c r="F13" i="151" s="1"/>
  <c r="G13" i="151" l="1"/>
  <c r="H13" i="151" s="1"/>
  <c r="I13" i="151"/>
  <c r="J13" i="151" l="1"/>
  <c r="L13" i="151" s="1"/>
  <c r="K13" i="151" s="1"/>
  <c r="F14" i="151" s="1"/>
  <c r="I14" i="151" l="1"/>
  <c r="G14" i="151"/>
  <c r="H14" i="151" s="1"/>
  <c r="J14" i="151" l="1"/>
  <c r="L14" i="151" s="1"/>
  <c r="K14" i="151" s="1"/>
  <c r="F15" i="151" s="1"/>
  <c r="I15" i="151" l="1"/>
  <c r="G15" i="151"/>
  <c r="H15" i="151" s="1"/>
  <c r="J15" i="151" l="1"/>
  <c r="L15" i="151" l="1"/>
  <c r="K15" i="151" s="1"/>
  <c r="F16" i="151" s="1"/>
  <c r="G16" i="151" l="1"/>
  <c r="H16" i="151" s="1"/>
  <c r="I16" i="151"/>
  <c r="J16" i="151" l="1"/>
  <c r="L16" i="151" s="1"/>
  <c r="K16" i="151" s="1"/>
  <c r="F17" i="151" s="1"/>
  <c r="I17" i="151" l="1"/>
  <c r="G17" i="151"/>
  <c r="H17" i="151" s="1"/>
  <c r="J17" i="151" l="1"/>
  <c r="L17" i="151" s="1"/>
  <c r="K17" i="151" s="1"/>
  <c r="F18" i="1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E3" authorId="0" shapeId="0" xr:uid="{65CA133F-348B-4E83-BB0D-E5C79CB99174}">
      <text>
        <r>
          <rPr>
            <b/>
            <sz val="9"/>
            <color indexed="81"/>
            <rFont val="Tahoma"/>
            <family val="2"/>
          </rPr>
          <t xml:space="preserve">This includes the likes of Goldmans, Citadel etc. </t>
        </r>
      </text>
    </comment>
    <comment ref="C11" authorId="0" shapeId="0" xr:uid="{0970B8AC-F20F-4CB2-B563-FE35A95E76F6}">
      <text>
        <r>
          <rPr>
            <b/>
            <sz val="9"/>
            <color indexed="81"/>
            <rFont val="Tahoma"/>
            <family val="2"/>
          </rPr>
          <t>Clearing Firm For Robinhood</t>
        </r>
      </text>
    </comment>
    <comment ref="A19" authorId="0" shapeId="0" xr:uid="{13440398-847D-4FC9-9065-2D861A8CE55F}">
      <text>
        <r>
          <rPr>
            <sz val="9"/>
            <color indexed="81"/>
            <rFont val="Tahoma"/>
            <family val="2"/>
          </rPr>
          <t>Clearing House steps in as the intermediary for each trade in that they would "insert" themselves as the counterparty (intermediary) to every trade so that they become the sellers to buyers and the buyers to the sellers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Ravi</author>
    <author>diego indran</author>
  </authors>
  <commentList>
    <comment ref="A2" authorId="0" shapeId="0" xr:uid="{0BF28BB2-E2EA-4958-9BD7-78BBC7D6E677}">
      <text>
        <r>
          <rPr>
            <b/>
            <sz val="9"/>
            <color indexed="81"/>
            <rFont val="Tahoma"/>
            <family val="2"/>
          </rPr>
          <t>Ravi:</t>
        </r>
        <r>
          <rPr>
            <sz val="9"/>
            <color indexed="81"/>
            <rFont val="Tahoma"/>
            <family val="2"/>
          </rPr>
          <t xml:space="preserve">
Traded during business hours</t>
        </r>
      </text>
    </comment>
    <comment ref="A3" authorId="0" shapeId="0" xr:uid="{C3AC502C-057E-4A2D-9C2B-5FAD2318608D}">
      <text>
        <r>
          <rPr>
            <b/>
            <sz val="9"/>
            <color indexed="81"/>
            <rFont val="Tahoma"/>
            <family val="2"/>
          </rPr>
          <t>Ravi:</t>
        </r>
        <r>
          <rPr>
            <sz val="9"/>
            <color indexed="81"/>
            <rFont val="Tahoma"/>
            <family val="2"/>
          </rPr>
          <t xml:space="preserve">
End of market close</t>
        </r>
      </text>
    </comment>
    <comment ref="D20" authorId="1" shapeId="0" xr:uid="{DE7429BB-ECC3-494C-95AA-93898DF50AC0}">
      <text>
        <r>
          <rPr>
            <b/>
            <sz val="9"/>
            <color indexed="81"/>
            <rFont val="Tahoma"/>
            <family val="2"/>
          </rPr>
          <t>Ravi:</t>
        </r>
        <r>
          <rPr>
            <sz val="9"/>
            <color indexed="81"/>
            <rFont val="Tahoma"/>
            <family val="2"/>
          </rPr>
          <t xml:space="preserve">
Add up Column D (or take Cell E18)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diego indran</author>
    <author>Ravi</author>
  </authors>
  <commentList>
    <comment ref="L1" authorId="0" shapeId="0" xr:uid="{2C60F418-5BD4-43BE-9ECE-69DFBADF2F94}">
      <text>
        <r>
          <rPr>
            <b/>
            <sz val="9"/>
            <color indexed="81"/>
            <rFont val="Tahoma"/>
            <family val="2"/>
          </rPr>
          <t>Only topped up to 12,000 if values in Column J is less than 9,000</t>
        </r>
      </text>
    </comment>
    <comment ref="A2" authorId="1" shapeId="0" xr:uid="{6E135B7B-98C9-45B8-8558-BFBE639DCBAF}">
      <text>
        <r>
          <rPr>
            <b/>
            <sz val="9"/>
            <color indexed="81"/>
            <rFont val="Tahoma"/>
            <family val="2"/>
          </rPr>
          <t>Ravi:</t>
        </r>
        <r>
          <rPr>
            <sz val="9"/>
            <color indexed="81"/>
            <rFont val="Tahoma"/>
            <family val="2"/>
          </rPr>
          <t xml:space="preserve">
Traded during business hours</t>
        </r>
      </text>
    </comment>
    <comment ref="A3" authorId="1" shapeId="0" xr:uid="{2579C118-2277-445E-939A-15C273224910}">
      <text>
        <r>
          <rPr>
            <b/>
            <sz val="9"/>
            <color indexed="81"/>
            <rFont val="Tahoma"/>
            <family val="2"/>
          </rPr>
          <t>Ravi:</t>
        </r>
        <r>
          <rPr>
            <sz val="9"/>
            <color indexed="81"/>
            <rFont val="Tahoma"/>
            <family val="2"/>
          </rPr>
          <t xml:space="preserve">
End of market close</t>
        </r>
      </text>
    </comment>
    <comment ref="D21" authorId="0" shapeId="0" xr:uid="{73B35988-6454-478D-9B34-17D3BFEE9480}">
      <text>
        <r>
          <rPr>
            <b/>
            <sz val="9"/>
            <color indexed="81"/>
            <rFont val="Tahoma"/>
            <family val="2"/>
          </rPr>
          <t>Ravi:</t>
        </r>
        <r>
          <rPr>
            <sz val="9"/>
            <color indexed="81"/>
            <rFont val="Tahoma"/>
            <family val="2"/>
          </rPr>
          <t xml:space="preserve">
Add up Column D (or take Cell E18)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E12" authorId="0" shapeId="0" xr:uid="{545F170F-4D2C-4427-A019-BAEFFC336E44}">
      <text>
        <r>
          <rPr>
            <b/>
            <sz val="9"/>
            <color indexed="81"/>
            <rFont val="Tahoma"/>
            <family val="2"/>
          </rPr>
          <t>Value of the spot rate on 10 Mar 2026.</t>
        </r>
      </text>
    </comment>
    <comment ref="B13" authorId="0" shapeId="0" xr:uid="{70D8AFC6-83A1-40BB-9D97-BE1E933A7A5B}">
      <text>
        <r>
          <rPr>
            <b/>
            <sz val="9"/>
            <color indexed="81"/>
            <rFont val="Tahoma"/>
            <family val="2"/>
          </rPr>
          <t>Price of the futures on 10 Mar 26 (which was purchased on 3 Jan 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D1" authorId="0" shapeId="0" xr:uid="{20CD4326-E39F-4C6F-9F80-7787E263CA1B}">
      <text>
        <r>
          <rPr>
            <b/>
            <sz val="9"/>
            <color indexed="81"/>
            <rFont val="Tahoma"/>
            <family val="2"/>
          </rPr>
          <t>Ravi:</t>
        </r>
        <r>
          <rPr>
            <sz val="9"/>
            <color indexed="81"/>
            <rFont val="Tahoma"/>
            <family val="2"/>
          </rPr>
          <t xml:space="preserve">
Payoff, Profit</t>
        </r>
      </text>
    </comment>
    <comment ref="D3" authorId="0" shapeId="0" xr:uid="{E2510E7E-263B-4C1E-8477-2B497946EEEC}">
      <text>
        <r>
          <rPr>
            <b/>
            <sz val="9"/>
            <color indexed="81"/>
            <rFont val="Tahoma"/>
            <family val="2"/>
          </rPr>
          <t>Ravi:</t>
        </r>
        <r>
          <rPr>
            <sz val="9"/>
            <color indexed="81"/>
            <rFont val="Tahoma"/>
            <family val="2"/>
          </rPr>
          <t xml:space="preserve">
Long, Short, None</t>
        </r>
      </text>
    </comment>
    <comment ref="D4" authorId="0" shapeId="0" xr:uid="{E7A561C4-5E58-45D0-9039-A0B587A7CA4F}">
      <text>
        <r>
          <rPr>
            <b/>
            <sz val="9"/>
            <color indexed="81"/>
            <rFont val="Tahoma"/>
            <family val="2"/>
          </rPr>
          <t>Ravi:</t>
        </r>
        <r>
          <rPr>
            <sz val="9"/>
            <color indexed="81"/>
            <rFont val="Tahoma"/>
            <family val="2"/>
          </rPr>
          <t xml:space="preserve">
Long, Short, None
</t>
        </r>
      </text>
    </comment>
    <comment ref="D5" authorId="0" shapeId="0" xr:uid="{0F181E09-7964-4033-823B-16DEB4C5FCAF}">
      <text>
        <r>
          <rPr>
            <b/>
            <sz val="9"/>
            <color indexed="81"/>
            <rFont val="Tahoma"/>
            <family val="2"/>
          </rPr>
          <t>Ravi:</t>
        </r>
        <r>
          <rPr>
            <sz val="9"/>
            <color indexed="81"/>
            <rFont val="Tahoma"/>
            <family val="2"/>
          </rPr>
          <t xml:space="preserve">
Long, Short, None
</t>
        </r>
      </text>
    </comment>
    <comment ref="E6" authorId="0" shapeId="0" xr:uid="{B3E0D2E5-CA2C-494A-A8AD-CA4D118AC032}">
      <text>
        <r>
          <rPr>
            <b/>
            <sz val="9"/>
            <color indexed="81"/>
            <rFont val="Tahoma"/>
            <family val="2"/>
          </rPr>
          <t>Ravi:</t>
        </r>
        <r>
          <rPr>
            <sz val="9"/>
            <color indexed="81"/>
            <rFont val="Tahoma"/>
            <family val="2"/>
          </rPr>
          <t xml:space="preserve">
Y - Yes, N - No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C5" authorId="0" shapeId="0" xr:uid="{7A01B879-552B-4657-9785-953FAC274043}">
      <text>
        <r>
          <rPr>
            <b/>
            <sz val="9"/>
            <color indexed="81"/>
            <rFont val="Tahoma"/>
            <family val="2"/>
          </rPr>
          <t>Total number of allowable coupons is 120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K13" authorId="0" shapeId="0" xr:uid="{B373D70A-8D59-4680-BBFD-8C851E022195}">
      <text>
        <r>
          <rPr>
            <b/>
            <sz val="9"/>
            <color indexed="81"/>
            <rFont val="Tahoma"/>
            <family val="2"/>
          </rPr>
          <t>Ravi:</t>
        </r>
        <r>
          <rPr>
            <sz val="9"/>
            <color indexed="81"/>
            <rFont val="Tahoma"/>
            <family val="2"/>
          </rPr>
          <t xml:space="preserve">
Using Excel Function To Check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A4" authorId="0" shapeId="0" xr:uid="{FA75FA93-C69F-460F-AF33-6EA843F75DAB}">
      <text>
        <r>
          <rPr>
            <b/>
            <sz val="9"/>
            <color indexed="81"/>
            <rFont val="Tahoma"/>
            <family val="2"/>
          </rPr>
          <t>This is Today.  BP is currently trading at $102.</t>
        </r>
      </text>
    </comment>
    <comment ref="K13" authorId="0" shapeId="0" xr:uid="{94B7E888-FF09-4E21-BC52-92F05D5D05F8}">
      <text>
        <r>
          <rPr>
            <b/>
            <sz val="9"/>
            <color indexed="81"/>
            <rFont val="Tahoma"/>
            <family val="2"/>
          </rPr>
          <t>Ravi:</t>
        </r>
        <r>
          <rPr>
            <sz val="9"/>
            <color indexed="81"/>
            <rFont val="Tahoma"/>
            <family val="2"/>
          </rPr>
          <t xml:space="preserve">
Using Excel Function To Check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K13" authorId="0" shapeId="0" xr:uid="{E93337F0-9F4B-4C88-81B1-F2C03138BD2E}">
      <text>
        <r>
          <rPr>
            <b/>
            <sz val="9"/>
            <color indexed="81"/>
            <rFont val="Tahoma"/>
            <family val="2"/>
          </rPr>
          <t>Ravi:</t>
        </r>
        <r>
          <rPr>
            <sz val="9"/>
            <color indexed="81"/>
            <rFont val="Tahoma"/>
            <family val="2"/>
          </rPr>
          <t xml:space="preserve">
Using Excel Function To Check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K13" authorId="0" shapeId="0" xr:uid="{549C4535-6EE5-439B-B660-1BAF6E94AF1B}">
      <text>
        <r>
          <rPr>
            <b/>
            <sz val="9"/>
            <color indexed="81"/>
            <rFont val="Tahoma"/>
            <family val="2"/>
          </rPr>
          <t>Ravi:</t>
        </r>
        <r>
          <rPr>
            <sz val="9"/>
            <color indexed="81"/>
            <rFont val="Tahoma"/>
            <family val="2"/>
          </rPr>
          <t xml:space="preserve">
Using Excel Function To Check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K13" authorId="0" shapeId="0" xr:uid="{67F61384-7B71-4381-9D83-9B0FC5E5C6B8}">
      <text>
        <r>
          <rPr>
            <b/>
            <sz val="9"/>
            <color indexed="81"/>
            <rFont val="Tahoma"/>
            <family val="2"/>
          </rPr>
          <t>Ravi:</t>
        </r>
        <r>
          <rPr>
            <sz val="9"/>
            <color indexed="81"/>
            <rFont val="Tahoma"/>
            <family val="2"/>
          </rPr>
          <t xml:space="preserve">
Using Excel Function To Check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diego indran</author>
    <author>Ravi</author>
  </authors>
  <commentList>
    <comment ref="H1" authorId="0" shapeId="0" xr:uid="{411DE252-C218-4909-9C26-419BE7CDF260}">
      <text>
        <r>
          <rPr>
            <b/>
            <sz val="9"/>
            <color indexed="81"/>
            <rFont val="Tahoma"/>
            <family val="2"/>
          </rPr>
          <t>Using Excel Function</t>
        </r>
      </text>
    </comment>
    <comment ref="I1" authorId="0" shapeId="0" xr:uid="{B3B0FFCE-468E-4869-92AD-24B64214EAA2}">
      <text>
        <r>
          <rPr>
            <b/>
            <sz val="9"/>
            <color indexed="81"/>
            <rFont val="Tahoma"/>
            <family val="2"/>
          </rPr>
          <t>Using Excel Function</t>
        </r>
      </text>
    </comment>
    <comment ref="E15" authorId="1" shapeId="0" xr:uid="{CCA90346-82C6-419D-A191-52FE0157A648}">
      <text>
        <r>
          <rPr>
            <b/>
            <sz val="9"/>
            <color indexed="81"/>
            <rFont val="Tahoma"/>
            <family val="2"/>
          </rPr>
          <t>Ravi:</t>
        </r>
        <r>
          <rPr>
            <sz val="9"/>
            <color indexed="81"/>
            <rFont val="Tahoma"/>
            <family val="2"/>
          </rPr>
          <t xml:space="preserve">
Recall that this is the dirty price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Ravi</author>
  </authors>
  <commentList>
    <comment ref="G70" authorId="0" shapeId="0" xr:uid="{21B4E6D9-70D9-4E4B-9B34-F38AD612796F}">
      <text>
        <r>
          <rPr>
            <b/>
            <sz val="9"/>
            <color indexed="81"/>
            <rFont val="Tahoma"/>
            <family val="2"/>
          </rPr>
          <t>Ravi:</t>
        </r>
        <r>
          <rPr>
            <sz val="9"/>
            <color indexed="81"/>
            <rFont val="Tahoma"/>
            <family val="2"/>
          </rPr>
          <t xml:space="preserve">
Recall that this is the dirty price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kravindran</author>
  </authors>
  <commentList>
    <comment ref="C1" authorId="0" shapeId="0" xr:uid="{67D77F6C-6CCC-41A4-A8F1-95BF6DD86917}">
      <text>
        <r>
          <rPr>
            <b/>
            <sz val="8"/>
            <color indexed="81"/>
            <rFont val="Tahoma"/>
            <family val="2"/>
          </rPr>
          <t>Ravi:</t>
        </r>
        <r>
          <rPr>
            <sz val="8"/>
            <color indexed="81"/>
            <rFont val="Tahoma"/>
            <family val="2"/>
          </rPr>
          <t xml:space="preserve">
Assuming semi- annual coupons</t>
        </r>
      </text>
    </comment>
    <comment ref="G12" authorId="0" shapeId="0" xr:uid="{B3CD6AF2-C562-4EDF-8FD8-81B879A33AD5}">
      <text>
        <r>
          <rPr>
            <b/>
            <sz val="8"/>
            <color indexed="81"/>
            <rFont val="Tahoma"/>
            <family val="2"/>
          </rPr>
          <t>Ravi:</t>
        </r>
        <r>
          <rPr>
            <sz val="8"/>
            <color indexed="81"/>
            <rFont val="Tahoma"/>
            <family val="2"/>
          </rPr>
          <t xml:space="preserve">
Using a A/365 day count convention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kravindran</author>
    <author>diego indran</author>
  </authors>
  <commentList>
    <comment ref="C1" authorId="0" shapeId="0" xr:uid="{8193B063-7B10-4AA5-8553-C1302AFD2518}">
      <text>
        <r>
          <rPr>
            <b/>
            <sz val="8"/>
            <color indexed="81"/>
            <rFont val="Tahoma"/>
            <family val="2"/>
          </rPr>
          <t>Ravi:</t>
        </r>
        <r>
          <rPr>
            <sz val="8"/>
            <color indexed="81"/>
            <rFont val="Tahoma"/>
            <family val="2"/>
          </rPr>
          <t xml:space="preserve">
Assuming semi- annual coupons</t>
        </r>
      </text>
    </comment>
    <comment ref="G12" authorId="0" shapeId="0" xr:uid="{37AC933B-0002-4C80-8D41-8DF22A798AED}">
      <text>
        <r>
          <rPr>
            <b/>
            <sz val="8"/>
            <color indexed="81"/>
            <rFont val="Tahoma"/>
            <family val="2"/>
          </rPr>
          <t>Ravi:</t>
        </r>
        <r>
          <rPr>
            <sz val="8"/>
            <color indexed="81"/>
            <rFont val="Tahoma"/>
            <family val="2"/>
          </rPr>
          <t xml:space="preserve">
Using a A/365 day count convention</t>
        </r>
      </text>
    </comment>
    <comment ref="I23" authorId="0" shapeId="0" xr:uid="{A86515BE-8984-4710-A904-8F9BB76AF749}">
      <text>
        <r>
          <rPr>
            <b/>
            <sz val="8"/>
            <color indexed="81"/>
            <rFont val="Tahoma"/>
            <family val="2"/>
          </rPr>
          <t>Ravi:</t>
        </r>
        <r>
          <rPr>
            <sz val="8"/>
            <color indexed="81"/>
            <rFont val="Tahoma"/>
            <family val="2"/>
          </rPr>
          <t xml:space="preserve">
Using a A/365 day count convention</t>
        </r>
      </text>
    </comment>
    <comment ref="I31" authorId="1" shapeId="0" xr:uid="{DE34A18D-C589-41F1-B89B-8537ECDD1109}">
      <text>
        <r>
          <rPr>
            <b/>
            <sz val="9"/>
            <color indexed="81"/>
            <rFont val="Tahoma"/>
            <family val="2"/>
          </rPr>
          <t xml:space="preserve">This needs to be guessed first.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kravindran</author>
    <author>diego indran</author>
  </authors>
  <commentList>
    <comment ref="C1" authorId="0" shapeId="0" xr:uid="{B6CFF154-BAD4-4F1C-8E7E-DA1426C92BD5}">
      <text>
        <r>
          <rPr>
            <b/>
            <sz val="8"/>
            <color indexed="81"/>
            <rFont val="Tahoma"/>
            <family val="2"/>
          </rPr>
          <t>kravindran:</t>
        </r>
        <r>
          <rPr>
            <sz val="8"/>
            <color indexed="81"/>
            <rFont val="Tahoma"/>
            <family val="2"/>
          </rPr>
          <t xml:space="preserve">
Assuming semi- annual coupons</t>
        </r>
      </text>
    </comment>
    <comment ref="G12" authorId="0" shapeId="0" xr:uid="{09C33576-A580-4357-82E2-5CFB9F86CAB2}">
      <text>
        <r>
          <rPr>
            <b/>
            <sz val="8"/>
            <color indexed="81"/>
            <rFont val="Tahoma"/>
            <family val="2"/>
          </rPr>
          <t>kravindran:</t>
        </r>
        <r>
          <rPr>
            <sz val="8"/>
            <color indexed="81"/>
            <rFont val="Tahoma"/>
            <family val="2"/>
          </rPr>
          <t xml:space="preserve">
Using a A/365 day count convention</t>
        </r>
      </text>
    </comment>
    <comment ref="I23" authorId="0" shapeId="0" xr:uid="{95ABBDEF-3ADE-4BA7-AF9F-AF32F689783B}">
      <text>
        <r>
          <rPr>
            <b/>
            <sz val="8"/>
            <color indexed="81"/>
            <rFont val="Tahoma"/>
            <family val="2"/>
          </rPr>
          <t>kravindran:</t>
        </r>
        <r>
          <rPr>
            <sz val="8"/>
            <color indexed="81"/>
            <rFont val="Tahoma"/>
            <family val="2"/>
          </rPr>
          <t xml:space="preserve">
Using a A/365 day count convention</t>
        </r>
      </text>
    </comment>
    <comment ref="I36" authorId="0" shapeId="0" xr:uid="{01EEF128-4301-4309-9DBA-AD2EF65DD6CA}">
      <text>
        <r>
          <rPr>
            <b/>
            <sz val="8"/>
            <color indexed="81"/>
            <rFont val="Tahoma"/>
            <family val="2"/>
          </rPr>
          <t>kravindran:</t>
        </r>
        <r>
          <rPr>
            <sz val="8"/>
            <color indexed="81"/>
            <rFont val="Tahoma"/>
            <family val="2"/>
          </rPr>
          <t xml:space="preserve">
Using a A/365 day count convention</t>
        </r>
      </text>
    </comment>
    <comment ref="I49" authorId="1" shapeId="0" xr:uid="{B20AB5BB-7E4D-4890-BD5F-43477332FFC9}">
      <text>
        <r>
          <rPr>
            <b/>
            <sz val="9"/>
            <color indexed="81"/>
            <rFont val="Tahoma"/>
            <family val="2"/>
          </rPr>
          <t>Needs to be guessed first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A3" authorId="0" shapeId="0" xr:uid="{0B4CFBF5-26E6-4AAF-BB65-4D9915ABB62C}">
      <text>
        <r>
          <rPr>
            <b/>
            <sz val="9"/>
            <color indexed="81"/>
            <rFont val="Tahoma"/>
            <family val="2"/>
          </rPr>
          <t>Per $100 face value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D1" authorId="0" shapeId="0" xr:uid="{A492426C-04B7-4BDA-8A72-FE909C31B6A8}">
      <text>
        <r>
          <rPr>
            <b/>
            <sz val="9"/>
            <color indexed="81"/>
            <rFont val="Tahoma"/>
            <family val="2"/>
          </rPr>
          <t>Ravi:</t>
        </r>
        <r>
          <rPr>
            <sz val="9"/>
            <color indexed="81"/>
            <rFont val="Tahoma"/>
            <family val="2"/>
          </rPr>
          <t xml:space="preserve">
Payoff, Profit</t>
        </r>
      </text>
    </comment>
    <comment ref="D3" authorId="0" shapeId="0" xr:uid="{9F8883CA-943F-41C7-A4EF-81846BF30ECE}">
      <text>
        <r>
          <rPr>
            <b/>
            <sz val="9"/>
            <color indexed="81"/>
            <rFont val="Tahoma"/>
            <family val="2"/>
          </rPr>
          <t>Ravi:</t>
        </r>
        <r>
          <rPr>
            <sz val="9"/>
            <color indexed="81"/>
            <rFont val="Tahoma"/>
            <family val="2"/>
          </rPr>
          <t xml:space="preserve">
Long, Short, None</t>
        </r>
      </text>
    </comment>
    <comment ref="D4" authorId="0" shapeId="0" xr:uid="{77059A83-543E-4FEA-A5A5-57329AEC7ACF}">
      <text>
        <r>
          <rPr>
            <b/>
            <sz val="9"/>
            <color indexed="81"/>
            <rFont val="Tahoma"/>
            <family val="2"/>
          </rPr>
          <t>Ravi:</t>
        </r>
        <r>
          <rPr>
            <sz val="9"/>
            <color indexed="81"/>
            <rFont val="Tahoma"/>
            <family val="2"/>
          </rPr>
          <t xml:space="preserve">
Long, Short, None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D1" authorId="0" shapeId="0" xr:uid="{EF2B9DE4-3B3C-44F9-8FC9-4A2F5F0CBEFD}">
      <text>
        <r>
          <rPr>
            <b/>
            <sz val="9"/>
            <color indexed="81"/>
            <rFont val="Tahoma"/>
            <family val="2"/>
          </rPr>
          <t>Ravi:</t>
        </r>
        <r>
          <rPr>
            <sz val="9"/>
            <color indexed="81"/>
            <rFont val="Tahoma"/>
            <family val="2"/>
          </rPr>
          <t xml:space="preserve">
Payoff, Profit</t>
        </r>
      </text>
    </comment>
    <comment ref="D3" authorId="0" shapeId="0" xr:uid="{E93B04F0-70DB-4882-9E62-6E8544076949}">
      <text>
        <r>
          <rPr>
            <b/>
            <sz val="9"/>
            <color indexed="81"/>
            <rFont val="Tahoma"/>
            <family val="2"/>
          </rPr>
          <t>Ravi:</t>
        </r>
        <r>
          <rPr>
            <sz val="9"/>
            <color indexed="81"/>
            <rFont val="Tahoma"/>
            <family val="2"/>
          </rPr>
          <t xml:space="preserve">
Long, Short, None</t>
        </r>
      </text>
    </comment>
    <comment ref="D4" authorId="0" shapeId="0" xr:uid="{90E28D44-F49B-4B10-AC3E-4A701081C8E3}">
      <text>
        <r>
          <rPr>
            <b/>
            <sz val="9"/>
            <color indexed="81"/>
            <rFont val="Tahoma"/>
            <family val="2"/>
          </rPr>
          <t>Ravi:</t>
        </r>
        <r>
          <rPr>
            <sz val="9"/>
            <color indexed="81"/>
            <rFont val="Tahoma"/>
            <family val="2"/>
          </rPr>
          <t xml:space="preserve">
Long, Short, None
</t>
        </r>
      </text>
    </comment>
    <comment ref="D5" authorId="0" shapeId="0" xr:uid="{04636EC4-A419-4499-9736-28E8F1B2E7AF}">
      <text>
        <r>
          <rPr>
            <b/>
            <sz val="9"/>
            <color indexed="81"/>
            <rFont val="Tahoma"/>
            <family val="2"/>
          </rPr>
          <t>Ravi:</t>
        </r>
        <r>
          <rPr>
            <sz val="9"/>
            <color indexed="81"/>
            <rFont val="Tahoma"/>
            <family val="2"/>
          </rPr>
          <t xml:space="preserve">
Long, Short, None
</t>
        </r>
      </text>
    </comment>
    <comment ref="E6" authorId="0" shapeId="0" xr:uid="{653D39F6-AF80-42C0-9326-E6B4FEDD3676}">
      <text>
        <r>
          <rPr>
            <b/>
            <sz val="9"/>
            <color indexed="81"/>
            <rFont val="Tahoma"/>
            <family val="2"/>
          </rPr>
          <t>Ravi:</t>
        </r>
        <r>
          <rPr>
            <sz val="9"/>
            <color indexed="81"/>
            <rFont val="Tahoma"/>
            <family val="2"/>
          </rPr>
          <t xml:space="preserve">
Y - Yes, N - No</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E22" authorId="0" shapeId="0" xr:uid="{C15471E5-7DC4-4012-83F6-26DB7997AA99}">
      <text>
        <r>
          <rPr>
            <b/>
            <sz val="9"/>
            <color indexed="81"/>
            <rFont val="Tahoma"/>
            <family val="2"/>
          </rPr>
          <t>Option premium is given by value of node at this time</t>
        </r>
      </text>
    </comment>
    <comment ref="J22" authorId="0" shapeId="0" xr:uid="{56B3AE44-8B23-43AC-86D6-FE56AE059787}">
      <text>
        <r>
          <rPr>
            <b/>
            <sz val="9"/>
            <color indexed="81"/>
            <rFont val="Tahoma"/>
            <family val="2"/>
          </rPr>
          <t>Find payoffs for all nodes where there are prices assuming no exercise earlier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E22" authorId="0" shapeId="0" xr:uid="{12B80999-29D8-4A3A-84AD-6A53C431D074}">
      <text>
        <r>
          <rPr>
            <b/>
            <sz val="9"/>
            <color indexed="81"/>
            <rFont val="Tahoma"/>
            <family val="2"/>
          </rPr>
          <t>Option premium is given by value of node at this time</t>
        </r>
      </text>
    </comment>
    <comment ref="F22" authorId="0" shapeId="0" xr:uid="{83B683FA-4F0A-4E19-BCCB-8AA61744BF7F}">
      <text>
        <r>
          <rPr>
            <b/>
            <sz val="9"/>
            <color indexed="81"/>
            <rFont val="Tahoma"/>
            <family val="2"/>
          </rPr>
          <t>Find payoffs for all nodes by comparing excerise value with continuing for another 0.1 years</t>
        </r>
      </text>
    </comment>
    <comment ref="G22" authorId="0" shapeId="0" xr:uid="{EBC375AE-7D73-4167-9A84-28E345F74356}">
      <text>
        <r>
          <rPr>
            <b/>
            <sz val="9"/>
            <color indexed="81"/>
            <rFont val="Tahoma"/>
            <family val="2"/>
          </rPr>
          <t>Find payoffs for all nodes by comparing excerise value with continuing for another 0.1 years</t>
        </r>
      </text>
    </comment>
    <comment ref="H22" authorId="0" shapeId="0" xr:uid="{1D0D3777-790D-48BA-BC5F-58EC1DF2E4F4}">
      <text>
        <r>
          <rPr>
            <b/>
            <sz val="9"/>
            <color indexed="81"/>
            <rFont val="Tahoma"/>
            <family val="2"/>
          </rPr>
          <t>Find payoffs for all nodes by comparing excerise value with continuing for another 0.1 years</t>
        </r>
      </text>
    </comment>
    <comment ref="I22" authorId="0" shapeId="0" xr:uid="{F97213CB-0812-4E67-84AE-466859629CD4}">
      <text>
        <r>
          <rPr>
            <b/>
            <sz val="9"/>
            <color indexed="81"/>
            <rFont val="Tahoma"/>
            <family val="2"/>
          </rPr>
          <t>Find payoffs for all nodes by comparing excerise value with continuing for another 0.1 years</t>
        </r>
      </text>
    </comment>
    <comment ref="J22" authorId="0" shapeId="0" xr:uid="{517E32E4-60AC-4BA9-B516-6E61AE053984}">
      <text>
        <r>
          <rPr>
            <b/>
            <sz val="9"/>
            <color indexed="81"/>
            <rFont val="Tahoma"/>
            <family val="2"/>
          </rPr>
          <t>Find payoffs for all nodes where there are prices assuming no exercise earlier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C8" authorId="0" shapeId="0" xr:uid="{36AA0053-C546-4601-AE3D-AD33DCFACCFA}">
      <text>
        <r>
          <rPr>
            <b/>
            <sz val="9"/>
            <color indexed="81"/>
            <rFont val="Tahoma"/>
            <family val="2"/>
          </rPr>
          <t>P - Put
C - Call</t>
        </r>
      </text>
    </comment>
    <comment ref="C9" authorId="0" shapeId="0" xr:uid="{48EBC555-D6C3-4A8F-828D-9DF36602CFDB}">
      <text>
        <r>
          <rPr>
            <b/>
            <sz val="9"/>
            <color indexed="81"/>
            <rFont val="Tahoma"/>
            <family val="2"/>
          </rPr>
          <t>A - American
E - European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C9" authorId="0" shapeId="0" xr:uid="{7DE60B1E-A489-4E5F-ABC7-4D717400DA41}">
      <text>
        <r>
          <rPr>
            <b/>
            <sz val="9"/>
            <color indexed="81"/>
            <rFont val="Tahoma"/>
            <family val="2"/>
          </rPr>
          <t>P - Put
C - Call</t>
        </r>
      </text>
    </comment>
    <comment ref="C10" authorId="0" shapeId="0" xr:uid="{EF677772-EF6C-4EE9-A35E-BFCCD4545817}">
      <text>
        <r>
          <rPr>
            <b/>
            <sz val="9"/>
            <color indexed="81"/>
            <rFont val="Tahoma"/>
            <family val="2"/>
          </rPr>
          <t>A - American
E - European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C9" authorId="0" shapeId="0" xr:uid="{9F7260A9-5157-49F2-B8C8-05794AC5795D}">
      <text>
        <r>
          <rPr>
            <b/>
            <sz val="9"/>
            <color indexed="81"/>
            <rFont val="Tahoma"/>
            <family val="2"/>
          </rPr>
          <t>P - Put
C - Call</t>
        </r>
      </text>
    </comment>
    <comment ref="C10" authorId="0" shapeId="0" xr:uid="{B1775ADC-B99A-45E4-B72E-44D1F2E0C2D8}">
      <text>
        <r>
          <rPr>
            <b/>
            <sz val="9"/>
            <color indexed="81"/>
            <rFont val="Tahoma"/>
            <family val="2"/>
          </rPr>
          <t>A - American
E - European</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diego indran</author>
  </authors>
  <commentList>
    <comment ref="C6" authorId="0" shapeId="0" xr:uid="{0E20FC27-B5D6-4C57-A761-E38604ED77FD}">
      <text>
        <r>
          <rPr>
            <b/>
            <sz val="9"/>
            <color indexed="81"/>
            <rFont val="Tahoma"/>
            <family val="2"/>
          </rPr>
          <t>P - Put
C - Call</t>
        </r>
      </text>
    </comment>
    <comment ref="C7" authorId="0" shapeId="0" xr:uid="{7235ABD9-C388-46FE-B46B-BC0DF3409AE4}">
      <text>
        <r>
          <rPr>
            <b/>
            <sz val="9"/>
            <color indexed="81"/>
            <rFont val="Tahoma"/>
            <family val="2"/>
          </rPr>
          <t>A - American
E - European</t>
        </r>
      </text>
    </comment>
  </commentList>
</comments>
</file>

<file path=xl/sharedStrings.xml><?xml version="1.0" encoding="utf-8"?>
<sst xmlns="http://schemas.openxmlformats.org/spreadsheetml/2006/main" count="2066" uniqueCount="772">
  <si>
    <t>NA</t>
  </si>
  <si>
    <t>Day</t>
  </si>
  <si>
    <t>Daily gain/loss ($)</t>
  </si>
  <si>
    <t>Cum gain/loss ($)</t>
  </si>
  <si>
    <t>Margin call ($)</t>
  </si>
  <si>
    <t>R</t>
  </si>
  <si>
    <t>Dates</t>
  </si>
  <si>
    <t>Scenario 1</t>
  </si>
  <si>
    <t>Scenario 2</t>
  </si>
  <si>
    <t>Spot Price</t>
  </si>
  <si>
    <t>Number of contracts</t>
  </si>
  <si>
    <t>Pounds/Contract</t>
  </si>
  <si>
    <t>May Fut Price</t>
  </si>
  <si>
    <t>Cost of Purchase In Spot Mkt</t>
  </si>
  <si>
    <t>&lt;&lt;&lt;top up to 12,000</t>
  </si>
  <si>
    <t>Interest Paid</t>
  </si>
  <si>
    <t>Interest Received</t>
  </si>
  <si>
    <t>Borrowing Rate</t>
  </si>
  <si>
    <t>Investment Rate</t>
  </si>
  <si>
    <t>Trade Price</t>
  </si>
  <si>
    <t>Settlement Price</t>
  </si>
  <si>
    <t>Amt Borrowed</t>
  </si>
  <si>
    <t xml:space="preserve">Bond Maturity </t>
  </si>
  <si>
    <t>Bond Price</t>
  </si>
  <si>
    <t>Annual Coupon Size</t>
  </si>
  <si>
    <t>To compute yields from instruments in Rows 2 - 4</t>
  </si>
  <si>
    <t>Step 1:  Since these are zero coupon bonds, 100 * exp(-R*T) = Price</t>
  </si>
  <si>
    <t>Step 2:  From Step 1, it follows that R = - [Ln(Price/100)]/T</t>
  </si>
  <si>
    <t>Days (from settlement)</t>
  </si>
  <si>
    <t>Prices</t>
  </si>
  <si>
    <t>Zero Rates</t>
  </si>
  <si>
    <t>Time (years)</t>
  </si>
  <si>
    <t>To compute yields from instruments in Rows 5 - 6</t>
  </si>
  <si>
    <t>Step 1:  Find the dates of the cashflows and use the appropriate zero rates for times before the maturity date</t>
  </si>
  <si>
    <t>Step 2:  Iterate until the price is obtained like how we priced a bond with dirty price</t>
  </si>
  <si>
    <t>CFs</t>
  </si>
  <si>
    <t>Time (yrs)</t>
  </si>
  <si>
    <t>PV (CFs)</t>
  </si>
  <si>
    <t>PV(Time 0)</t>
  </si>
  <si>
    <t>Accrued Interest</t>
  </si>
  <si>
    <t>Cash Price</t>
  </si>
  <si>
    <t>Current date</t>
  </si>
  <si>
    <t>Maturity Date</t>
  </si>
  <si>
    <t>Coupon</t>
  </si>
  <si>
    <t>Yield</t>
  </si>
  <si>
    <t>Price</t>
  </si>
  <si>
    <t>S/N</t>
  </si>
  <si>
    <t>Bond life (yrs)</t>
  </si>
  <si>
    <t>Zero Rate</t>
  </si>
  <si>
    <t>Extracting discount factor from zero rates</t>
  </si>
  <si>
    <t>Time (yr)</t>
  </si>
  <si>
    <t>Zeros</t>
  </si>
  <si>
    <t>Disc Factor</t>
  </si>
  <si>
    <t>Extracting zero rates from disc factors</t>
  </si>
  <si>
    <t>Term</t>
  </si>
  <si>
    <t>Extracting simple forward rates from zero rates</t>
  </si>
  <si>
    <t>Disc Factors</t>
  </si>
  <si>
    <t>Fwd Rates</t>
  </si>
  <si>
    <t>Extracting cont'd compounded forward rates from discount factors</t>
  </si>
  <si>
    <t>Profit From Hedge Unwinding</t>
  </si>
  <si>
    <t>∞</t>
  </si>
  <si>
    <t>&lt;&lt;&lt;continuous compounding</t>
  </si>
  <si>
    <t>&lt;&lt;&lt;annual compounding</t>
  </si>
  <si>
    <t>&lt;&lt;&lt;semi-annual compounding</t>
  </si>
  <si>
    <t>&lt;&lt;&lt;quarter compounding</t>
  </si>
  <si>
    <t>&lt;&lt;spread</t>
  </si>
  <si>
    <t>Zero Rate+spread</t>
  </si>
  <si>
    <t>Dis Factor</t>
  </si>
  <si>
    <t>Dis Factor (spread)</t>
  </si>
  <si>
    <t>Current Bond Price</t>
  </si>
  <si>
    <t>Coupon Frequency</t>
  </si>
  <si>
    <t>Period</t>
  </si>
  <si>
    <t>&lt;&lt;&lt;"A" - annual, "S" - Semi-annual, "Q" - Quarterly, "M" - Monthly</t>
  </si>
  <si>
    <t>Number of coupons in a year</t>
  </si>
  <si>
    <t xml:space="preserve">Principal </t>
  </si>
  <si>
    <t>Coupons</t>
  </si>
  <si>
    <t>Total Number of coupons</t>
  </si>
  <si>
    <t>Remaining Bond Life (yrs)</t>
  </si>
  <si>
    <t>Periods</t>
  </si>
  <si>
    <t>PV(CF)</t>
  </si>
  <si>
    <t>Total PV(CF)</t>
  </si>
  <si>
    <t>&lt;&lt;&lt;issue date</t>
  </si>
  <si>
    <t>&lt;&lt; receive 1st coupon</t>
  </si>
  <si>
    <t>&lt;&lt; receive 2nd coupon</t>
  </si>
  <si>
    <t>&lt;&lt; receive 3rd coupon</t>
  </si>
  <si>
    <t>&lt;&lt; receive 4th coupon</t>
  </si>
  <si>
    <t>&lt;&lt; receive 5th coupon</t>
  </si>
  <si>
    <t>&lt;&lt; receive 6th coupon AND $100 back</t>
  </si>
  <si>
    <t>Total Maintenance Margin</t>
  </si>
  <si>
    <t>Option type</t>
  </si>
  <si>
    <t>Net Effect</t>
  </si>
  <si>
    <t>Option 2</t>
  </si>
  <si>
    <t>Option 3</t>
  </si>
  <si>
    <t>Option 4</t>
  </si>
  <si>
    <t>Inputs</t>
  </si>
  <si>
    <t>Current Stock Price ($)</t>
  </si>
  <si>
    <t>Stock price At Maturity</t>
  </si>
  <si>
    <t>Option Type</t>
  </si>
  <si>
    <t>P</t>
  </si>
  <si>
    <t>C</t>
  </si>
  <si>
    <t>Postion</t>
  </si>
  <si>
    <t>Strike Price ($)</t>
  </si>
  <si>
    <t>Risk Free Rate (%)</t>
  </si>
  <si>
    <t>Dividend Rate (%)</t>
  </si>
  <si>
    <t>Volatility Rate (%)</t>
  </si>
  <si>
    <t>Option Life (years)</t>
  </si>
  <si>
    <t>Include Premium</t>
  </si>
  <si>
    <t>Computations</t>
  </si>
  <si>
    <t>d1</t>
  </si>
  <si>
    <t>d2</t>
  </si>
  <si>
    <t>Premium</t>
  </si>
  <si>
    <t>Position</t>
  </si>
  <si>
    <t>Long</t>
  </si>
  <si>
    <t>Call</t>
  </si>
  <si>
    <t>Graph Type</t>
  </si>
  <si>
    <t>Payoff</t>
  </si>
  <si>
    <t>Put</t>
  </si>
  <si>
    <t>Strike</t>
  </si>
  <si>
    <t>F</t>
  </si>
  <si>
    <t>Instrument</t>
  </si>
  <si>
    <t>Forward</t>
  </si>
  <si>
    <t xml:space="preserve">Total </t>
  </si>
  <si>
    <t>Y</t>
  </si>
  <si>
    <t>m (compounding number of times per year)</t>
  </si>
  <si>
    <t>Start day (5 Nov) is the same as Maturity day (5 Nov)</t>
  </si>
  <si>
    <t>Short</t>
  </si>
  <si>
    <t>Long Forward = Long Call + Short Put</t>
  </si>
  <si>
    <t>Short Forward = Short Call + Long Put</t>
  </si>
  <si>
    <t>0 = Long Call + Short Put - Long Forward</t>
  </si>
  <si>
    <t>0 = Long Call + Short Put + Short Forward</t>
  </si>
  <si>
    <t>Amount</t>
  </si>
  <si>
    <t>Strategy 1</t>
  </si>
  <si>
    <t>Strategy 2</t>
  </si>
  <si>
    <t>Return</t>
  </si>
  <si>
    <t>Scenario 3</t>
  </si>
  <si>
    <t>Scenario 4</t>
  </si>
  <si>
    <t>S</t>
  </si>
  <si>
    <t>Today</t>
  </si>
  <si>
    <t>Annual Coupon</t>
  </si>
  <si>
    <t>What is the yield to maturity (YTM)?</t>
  </si>
  <si>
    <t>PV of CF</t>
  </si>
  <si>
    <t>Guessed YTM (Annual Bond Yield)</t>
  </si>
  <si>
    <t>Total</t>
  </si>
  <si>
    <t>None</t>
  </si>
  <si>
    <t>Simple Annual Return</t>
  </si>
  <si>
    <t>A</t>
  </si>
  <si>
    <t>PV (CF)</t>
  </si>
  <si>
    <t>Annual Coupon Rate</t>
  </si>
  <si>
    <t>Term (yrs)</t>
  </si>
  <si>
    <t>Discount factor</t>
  </si>
  <si>
    <t xml:space="preserve">&lt;&lt;value of receiving $1 1 year from TODAY </t>
  </si>
  <si>
    <t xml:space="preserve">&lt;&lt;value of receiving $1 3 years from TODAY </t>
  </si>
  <si>
    <t>if the rate between 1 and 3 was R*</t>
  </si>
  <si>
    <t>discount factor between 1 and 3 is 1 * exp(-R* ( 3-1))</t>
  </si>
  <si>
    <t>discount factor between 0 and 3 is 1 * exp (-R* (3-1)) * exp(-0.03 * (1-0))</t>
  </si>
  <si>
    <t>Also discount factor between 0 and 3 should be 1 * exp(-0.045 * (3-0))</t>
  </si>
  <si>
    <t>Thus</t>
  </si>
  <si>
    <t>1* exp(-R*(3-1)) * exp(-0.03 *(1-0)) = 1 * exp(-0.045*(3-0))</t>
  </si>
  <si>
    <t>this implies</t>
  </si>
  <si>
    <t xml:space="preserve">                   R* = [ (0.045 *(3-0)) - (0.03 * (1-0))] / (3 - 1)</t>
  </si>
  <si>
    <t>T1</t>
  </si>
  <si>
    <t xml:space="preserve">            T2</t>
  </si>
  <si>
    <t>R* = {[R2 * T2] - [R1 * T1]} / (T2 - T1)</t>
  </si>
  <si>
    <t>Mac Duration (yrs)</t>
  </si>
  <si>
    <t>Mod Duration (yrs)</t>
  </si>
  <si>
    <t>Dollar Duration (yrs)</t>
  </si>
  <si>
    <t>index</t>
  </si>
  <si>
    <t>time</t>
  </si>
  <si>
    <t>Date</t>
  </si>
  <si>
    <t>CF</t>
  </si>
  <si>
    <t>PV (CFi)</t>
  </si>
  <si>
    <t>ti * PV(Cfi)</t>
  </si>
  <si>
    <t xml:space="preserve">The macauley duration is </t>
  </si>
  <si>
    <t xml:space="preserve">The modified duration is defined to be </t>
  </si>
  <si>
    <t xml:space="preserve">The dollar duration is defined to be the sensitivity of bond price to bond yield </t>
  </si>
  <si>
    <t>Current Asset Price</t>
  </si>
  <si>
    <t>Contract Maturity (months)</t>
  </si>
  <si>
    <t>Time:   0 months</t>
  </si>
  <si>
    <t xml:space="preserve">Sell forward </t>
  </si>
  <si>
    <t>Buy forward</t>
  </si>
  <si>
    <t>Rate of borrow</t>
  </si>
  <si>
    <t>Rate of investment</t>
  </si>
  <si>
    <t>Time of loan</t>
  </si>
  <si>
    <t>Time of investment</t>
  </si>
  <si>
    <t>Buy 1 unit of asset</t>
  </si>
  <si>
    <t>Sell 1 unit of asset to get</t>
  </si>
  <si>
    <t>Time:  Maturity</t>
  </si>
  <si>
    <t>Sell 1 unit of asset</t>
  </si>
  <si>
    <t>Buy 1 asset and close position</t>
  </si>
  <si>
    <t xml:space="preserve">Receive </t>
  </si>
  <si>
    <t>Receive from investment</t>
  </si>
  <si>
    <t>Pay off loan</t>
  </si>
  <si>
    <t>Pay for asset</t>
  </si>
  <si>
    <t>Profit</t>
  </si>
  <si>
    <t>For no arbitrage to happen</t>
  </si>
  <si>
    <t>Forward should be</t>
  </si>
  <si>
    <t>Recall</t>
  </si>
  <si>
    <t>Factors</t>
  </si>
  <si>
    <t xml:space="preserve">Call </t>
  </si>
  <si>
    <r>
      <t xml:space="preserve">Current Stock Price </t>
    </r>
    <r>
      <rPr>
        <sz val="10"/>
        <rFont val="Calibri"/>
        <family val="2"/>
      </rPr>
      <t>↑</t>
    </r>
  </si>
  <si>
    <t>↑</t>
  </si>
  <si>
    <t>↓</t>
  </si>
  <si>
    <t>Strike Price ↑</t>
  </si>
  <si>
    <t>Volatility ↑</t>
  </si>
  <si>
    <t>Time to maturity ↑</t>
  </si>
  <si>
    <t>call option</t>
  </si>
  <si>
    <t>Number of exercise points ↑</t>
  </si>
  <si>
    <t>Interest Rate ↑</t>
  </si>
  <si>
    <t>Simple Strategies</t>
  </si>
  <si>
    <t>Buy (Long) Stock</t>
  </si>
  <si>
    <t>Buy (Long) Call Option</t>
  </si>
  <si>
    <t>Sell (Short) Put Option</t>
  </si>
  <si>
    <t>Buy (Long) Put Option</t>
  </si>
  <si>
    <t>Sell (Short) Bonds</t>
  </si>
  <si>
    <t>Buy (Long) Stock Call options</t>
  </si>
  <si>
    <t>Sell (Short) Stock Put Options</t>
  </si>
  <si>
    <t>Option 1</t>
  </si>
  <si>
    <t>n</t>
  </si>
  <si>
    <t>S0</t>
  </si>
  <si>
    <t>r</t>
  </si>
  <si>
    <t>put</t>
  </si>
  <si>
    <t>q</t>
  </si>
  <si>
    <t>Working</t>
  </si>
  <si>
    <t>Delta t</t>
  </si>
  <si>
    <t>u</t>
  </si>
  <si>
    <t>volatility</t>
  </si>
  <si>
    <t>d</t>
  </si>
  <si>
    <t>Risk free</t>
  </si>
  <si>
    <t>p</t>
  </si>
  <si>
    <t>2 Delta t</t>
  </si>
  <si>
    <t>3 Delta t</t>
  </si>
  <si>
    <t>4 Delta t</t>
  </si>
  <si>
    <t>Time (wks)</t>
  </si>
  <si>
    <t>Stock Price</t>
  </si>
  <si>
    <t>Wkly Returns</t>
  </si>
  <si>
    <t>Ln(returns)</t>
  </si>
  <si>
    <t>Standard Deviation (weekly)</t>
  </si>
  <si>
    <t>Annualized Volatility</t>
  </si>
  <si>
    <t>Note if the above data was daily data then the annualized volatility is obtained by dividing C24 by sqrt(1/252)</t>
  </si>
  <si>
    <t>N</t>
  </si>
  <si>
    <t>Time</t>
  </si>
  <si>
    <t>You</t>
  </si>
  <si>
    <t>Market Makers</t>
  </si>
  <si>
    <t>Robinhood</t>
  </si>
  <si>
    <t>Robinhood Securities</t>
  </si>
  <si>
    <t>No</t>
  </si>
  <si>
    <t>Clearing House</t>
  </si>
  <si>
    <t>Yes</t>
  </si>
  <si>
    <t>Orders get sent to exchanged to be filled</t>
  </si>
  <si>
    <t>Margin acct balance EOD ($)</t>
  </si>
  <si>
    <t>Opening Margin Balance BOD ($)</t>
  </si>
  <si>
    <t>Total Gain</t>
  </si>
  <si>
    <t>&lt;&lt;&lt;check against Opening Margin Account Balance (Column J)</t>
  </si>
  <si>
    <t>Futures Volatility</t>
  </si>
  <si>
    <t>Comments</t>
  </si>
  <si>
    <t>Total Settled Margin before BOD</t>
  </si>
  <si>
    <t>Total Cost From Jan spot price ONLY</t>
  </si>
  <si>
    <t>Total Cost May spot price ONLY</t>
  </si>
  <si>
    <t>Total Cost From May Spot Purchase and futures contract in Jan</t>
  </si>
  <si>
    <t>Buy copper on 15 Jan at spot price</t>
  </si>
  <si>
    <t>Strategy 2: Buy futures contract</t>
  </si>
  <si>
    <t>Don’t do anything on 15 Jan</t>
  </si>
  <si>
    <t>Buy copper on 15 May at spot price</t>
  </si>
  <si>
    <t>Strategy 3: Buy futures contract on 15 Jan</t>
  </si>
  <si>
    <t xml:space="preserve">Sell futures contract on 15 May </t>
  </si>
  <si>
    <t>Spot</t>
  </si>
  <si>
    <t>CAD per USD</t>
  </si>
  <si>
    <t>Amt of Payment to be made on Mar 10</t>
  </si>
  <si>
    <t xml:space="preserve">CAD </t>
  </si>
  <si>
    <t>Convert the USD today</t>
  </si>
  <si>
    <t>Need</t>
  </si>
  <si>
    <t>Buy Futures contract on 3 Jan</t>
  </si>
  <si>
    <t>Sell the Futures contact on 10 Mar</t>
  </si>
  <si>
    <t xml:space="preserve">Convert the USD on 10 Mar </t>
  </si>
  <si>
    <t>Notional on Futures purchase</t>
  </si>
  <si>
    <t>Spot Rate (10 Mar 2025)</t>
  </si>
  <si>
    <t>Profit from Position Unwind</t>
  </si>
  <si>
    <t>Obligation (CAD)</t>
  </si>
  <si>
    <t>Strategy 3</t>
  </si>
  <si>
    <t>Strategy 4</t>
  </si>
  <si>
    <t>Futures Rate (10 Mar 2026)</t>
  </si>
  <si>
    <t>Futures (expiring 19 Mar 2026)</t>
  </si>
  <si>
    <t>Forward (expiring 10 Mar 2026)</t>
  </si>
  <si>
    <t>Convert the USD on 10 Mar 2026</t>
  </si>
  <si>
    <t>Use the Forward Contract maturing on 10 Mar 26</t>
  </si>
  <si>
    <t>Puts</t>
  </si>
  <si>
    <t>Strike Price</t>
  </si>
  <si>
    <t>Bid</t>
  </si>
  <si>
    <t>Ask</t>
  </si>
  <si>
    <t>Sell 1000 shares on 21 May</t>
  </si>
  <si>
    <t>Buy the shares back later on when the drop happens</t>
  </si>
  <si>
    <t>Pros</t>
  </si>
  <si>
    <t>No Cost</t>
  </si>
  <si>
    <t>Cons</t>
  </si>
  <si>
    <t>Cannot participate in upside if AAPL jumps instead of drops</t>
  </si>
  <si>
    <t>Buy 10 put option contracts on 21 May</t>
  </si>
  <si>
    <t>Expiry</t>
  </si>
  <si>
    <t>Jun</t>
  </si>
  <si>
    <t>Sep</t>
  </si>
  <si>
    <t>Dec</t>
  </si>
  <si>
    <t>Strikes</t>
  </si>
  <si>
    <t>Cost</t>
  </si>
  <si>
    <t>Breakeven</t>
  </si>
  <si>
    <t>Can partake in upside if protection not needed</t>
  </si>
  <si>
    <t>Cost associated with protection</t>
  </si>
  <si>
    <t>For insurance to be useful, AAPL must fall lesser than breakeven (yellow)</t>
  </si>
  <si>
    <t>Other Strategies</t>
  </si>
  <si>
    <t>Sell off 50% of holdings</t>
  </si>
  <si>
    <t>Hedge the unsold amount</t>
  </si>
  <si>
    <t>Sell off puts at lower strikes (i.e. buy higher strike puts and sell lower strike puts)</t>
  </si>
  <si>
    <t>Reduce net costs</t>
  </si>
  <si>
    <t>Sell Call options</t>
  </si>
  <si>
    <t>Collect premiums</t>
  </si>
  <si>
    <t>Use premiums to buy puts</t>
  </si>
  <si>
    <t>Take Away ---&gt;&gt;&gt;</t>
  </si>
  <si>
    <t>Parallel shift in Zero Rates DOES NOT MEAN Parallel shift in Discount Factors</t>
  </si>
  <si>
    <t># of Coupons</t>
  </si>
  <si>
    <t>&lt;&lt;Use Goal Seek For Example</t>
  </si>
  <si>
    <t>Intermediate Calculations</t>
  </si>
  <si>
    <t>Size of per coupon (face of $100)</t>
  </si>
  <si>
    <t>Final Result</t>
  </si>
  <si>
    <t>Guess Periodic Bond Yield</t>
  </si>
  <si>
    <t>&lt;&lt;guess this so that Value in Cell C10 is 0</t>
  </si>
  <si>
    <t>&lt;&lt;&lt;Pay $100</t>
  </si>
  <si>
    <t># of coupons</t>
  </si>
  <si>
    <t>6 mths time</t>
  </si>
  <si>
    <t>12 mths time</t>
  </si>
  <si>
    <t>18 mths time</t>
  </si>
  <si>
    <t>24 mths time</t>
  </si>
  <si>
    <t>Total PV (CF)</t>
  </si>
  <si>
    <t>30 mths time</t>
  </si>
  <si>
    <t>"Nominal"/"Annual" Yield</t>
  </si>
  <si>
    <t>&lt;&lt;&lt;obtained using goal seek</t>
  </si>
  <si>
    <t>Excel Bond Yield Formula</t>
  </si>
  <si>
    <t>36 mths time</t>
  </si>
  <si>
    <t>BOTH OUR CALCULATION AND EXCEL FUNCTION MATCH</t>
  </si>
  <si>
    <t>Issue Date is 5 Nov 2024</t>
  </si>
  <si>
    <t>Bond Purchase Date is 5 Nov 2024</t>
  </si>
  <si>
    <t>Purchase Date = Issue Date</t>
  </si>
  <si>
    <t>6 mths ago</t>
  </si>
  <si>
    <t>&lt;&lt; Original Owner receives 2nd coupon and $102.   In this case, gets $107.</t>
  </si>
  <si>
    <t>&lt;&lt; New owner receives his/her 1st coupon (bond's 3rd coupon)</t>
  </si>
  <si>
    <t>&lt;&lt; New owner receives his/her 2nd coupon (bond's 4th coupon)</t>
  </si>
  <si>
    <t>&lt;&lt; New owner receives his/her 3rd coupon (bond's 5th coupon)</t>
  </si>
  <si>
    <t>&lt;&lt; New owner receives his/her 4th coupon (bond's 6th coupon) AND $100 back</t>
  </si>
  <si>
    <t>AGAIN BOTH OUR CALCULATION AND EXCEL FUNCTION MATCH</t>
  </si>
  <si>
    <t>Bond Purchase Date (Today) is 5 Nov 2025</t>
  </si>
  <si>
    <t>Purchase Price (Cash Price) is $102</t>
  </si>
  <si>
    <t>Purchase Date = Coupon Date</t>
  </si>
  <si>
    <t>10 mths ago</t>
  </si>
  <si>
    <t>4 mths ago</t>
  </si>
  <si>
    <t>&lt;&lt; original owner receives 1st coupon</t>
  </si>
  <si>
    <t xml:space="preserve">&lt;&lt;&lt; Pay $99 if purchase on 5 Sep 2025. </t>
  </si>
  <si>
    <t>2 months time</t>
  </si>
  <si>
    <t>&lt;&lt; new owner receives 1st coupon (bond's 2nd coupon)</t>
  </si>
  <si>
    <t>8 months time</t>
  </si>
  <si>
    <t>&lt;&lt; new owner receives 2nd coupon (bond's 3rd coupon)</t>
  </si>
  <si>
    <t>OUR CALCULATION AND EXCEL FUNCTION DO NOT MATCH</t>
  </si>
  <si>
    <t>12 months time</t>
  </si>
  <si>
    <t>&lt;&lt; new owner receives 3rd coupon (bond's 4th coupon)</t>
  </si>
  <si>
    <t xml:space="preserve">DIFFERENCE IS </t>
  </si>
  <si>
    <t>BASIS POINTS</t>
  </si>
  <si>
    <t>BUT THAT SEEMS SMALL OR IS IT?</t>
  </si>
  <si>
    <t>16 months time</t>
  </si>
  <si>
    <t>&lt;&lt; new owner receives 4th coupon (bond's 5th coupon)</t>
  </si>
  <si>
    <t>22 months time</t>
  </si>
  <si>
    <t>&lt;&lt; new owner receives 5th coupon (bond's 6th coupon) and principal</t>
  </si>
  <si>
    <t>Bond Purchase Date (Today) is 5 Sep 2025</t>
  </si>
  <si>
    <t>Purchase Price (Cash Price) is $99</t>
  </si>
  <si>
    <t>Purchase Date NOT a  Coupon/Issue Date</t>
  </si>
  <si>
    <t>FV ($)</t>
  </si>
  <si>
    <t>Periodic BY (%)</t>
  </si>
  <si>
    <t>&lt;&lt;&lt; periodic yield means yield for that period (so no time adjustment is necessary)</t>
  </si>
  <si>
    <t>Periodic C (%)</t>
  </si>
  <si>
    <t>Cashflows</t>
  </si>
  <si>
    <t>PV (Cashflows)</t>
  </si>
  <si>
    <t>Interest Payments</t>
  </si>
  <si>
    <t>Principal Repayment</t>
  </si>
  <si>
    <t>BP</t>
  </si>
  <si>
    <t>Observation 1</t>
  </si>
  <si>
    <t>ZCB:   Pay 67.56 get 100</t>
  </si>
  <si>
    <t xml:space="preserve">           Pay 108.11 get 160.02</t>
  </si>
  <si>
    <t>CB:     Pay 108.11 get 150</t>
  </si>
  <si>
    <t>Principal Repayment + Interest</t>
  </si>
  <si>
    <t>Observation 2</t>
  </si>
  <si>
    <t>ZCB:  Increase BY by 1%.  BP drops from 67.56 to 61.39</t>
  </si>
  <si>
    <t xml:space="preserve">          Percentage change is 9.19%</t>
  </si>
  <si>
    <t>CB:  Increase BY by 1%.  BP drops from 108 to 100</t>
  </si>
  <si>
    <t xml:space="preserve">         Percentage change is 8%</t>
  </si>
  <si>
    <t>Characteristics</t>
  </si>
  <si>
    <t>Zero-coupon bond vis-à-vis coupon bearing bond</t>
  </si>
  <si>
    <t>Sum of cashflows (coupon + FV)</t>
  </si>
  <si>
    <t>Greater for a zero-coupon bond - Observation 1</t>
  </si>
  <si>
    <t xml:space="preserve">Price/yield volatility </t>
  </si>
  <si>
    <t>Greater for a zero-coupon bond</t>
  </si>
  <si>
    <t>Impact of yield on price</t>
  </si>
  <si>
    <t>More sensitive for zero-coupon bond - Observation 2</t>
  </si>
  <si>
    <t>Clean/Dirty Price</t>
  </si>
  <si>
    <t>Not applicable for a zero-coupon bond (i.e. no concept of accrued interest)</t>
  </si>
  <si>
    <t>Periodic Yield (%)</t>
  </si>
  <si>
    <t>Repayment Breakdown</t>
  </si>
  <si>
    <t>Repayments</t>
  </si>
  <si>
    <t>interest</t>
  </si>
  <si>
    <t>Principal</t>
  </si>
  <si>
    <t>Oustanding Principal</t>
  </si>
  <si>
    <t>Periodic Cashflow</t>
  </si>
  <si>
    <t>ZCB:   Paying 132 gets 162.75</t>
  </si>
  <si>
    <t>AB:  Paying 108.11 gets 133.29</t>
  </si>
  <si>
    <t>CB:  Paying 108.11 gets 150</t>
  </si>
  <si>
    <t>Total cashflows</t>
  </si>
  <si>
    <t>Amortized bond (AB) vis-à-vis coupon bearing bond (CB) vis-à-vis zero-coupon bond (ZCB)</t>
  </si>
  <si>
    <t>AB &lt; CB &lt; ZCB</t>
  </si>
  <si>
    <t>Sensitivity of price to change in yield</t>
  </si>
  <si>
    <t>Not applicable for a ZCB</t>
  </si>
  <si>
    <t>Repayment Breakdown For Amortization</t>
  </si>
  <si>
    <t>% of FV amortized</t>
  </si>
  <si>
    <t>Calculations to Match Excel Functions in Cell H2 and I2</t>
  </si>
  <si>
    <t>"years"</t>
  </si>
  <si>
    <t>Maturity</t>
  </si>
  <si>
    <t>Bond Dirty Price</t>
  </si>
  <si>
    <t xml:space="preserve">Borrow money </t>
  </si>
  <si>
    <t>Borrow 1 unit of asset (shorting)</t>
  </si>
  <si>
    <t>WHAT SHOULD FORWARD PRICE BE FOR NO ARBITRAGE TO HAPPEN?</t>
  </si>
  <si>
    <t>1.  Short selling: NOT allowed</t>
  </si>
  <si>
    <t xml:space="preserve">     Right side does not hold</t>
  </si>
  <si>
    <t>NO ARBITRAGE CANNOT HAPPEN</t>
  </si>
  <si>
    <t>Forward (at minimum)</t>
  </si>
  <si>
    <r>
      <t>S</t>
    </r>
    <r>
      <rPr>
        <vertAlign val="subscript"/>
        <sz val="10"/>
        <rFont val="Arial"/>
        <family val="2"/>
      </rPr>
      <t>0</t>
    </r>
  </si>
  <si>
    <t>Zero Rate, r</t>
  </si>
  <si>
    <t>Zero Dividend Rate, q</t>
  </si>
  <si>
    <t>Forward Price</t>
  </si>
  <si>
    <t>Market Forward Price</t>
  </si>
  <si>
    <t>Purchase Forward Price</t>
  </si>
  <si>
    <t>By buying this at a forward price at $255 which is above market price of $237.96</t>
  </si>
  <si>
    <t>we are paying more than what the market wants.  Hence we need to be compensated</t>
  </si>
  <si>
    <t>something upfront to make this transaction "fair"</t>
  </si>
  <si>
    <t>The question is how much should we get in return</t>
  </si>
  <si>
    <t>Cash received for entering into this trade</t>
  </si>
  <si>
    <t>&lt;&lt;Wrong Answer</t>
  </si>
  <si>
    <t>&lt;&lt;Correct Answer (need discounting)</t>
  </si>
  <si>
    <t>By selling this at a forward price at $240 which is above market price of $237.96</t>
  </si>
  <si>
    <t>we are receivng more than what the market wants.  Hence we need to pay</t>
  </si>
  <si>
    <t>The question is how much should we pay</t>
  </si>
  <si>
    <t>Cash paid for entering into this trade</t>
  </si>
  <si>
    <t>&lt;&lt;wrong answer</t>
  </si>
  <si>
    <t>&lt;&lt;correct answer (need discounting)</t>
  </si>
  <si>
    <t>Quoted Price</t>
  </si>
  <si>
    <t>Time To Maturity (days)</t>
  </si>
  <si>
    <t>Deliverable Bond List</t>
  </si>
  <si>
    <t>Bond</t>
  </si>
  <si>
    <t>Clean Price</t>
  </si>
  <si>
    <t>Conversion Factor (CF)</t>
  </si>
  <si>
    <t>20 yrs</t>
  </si>
  <si>
    <t>B</t>
  </si>
  <si>
    <t>25 yrs</t>
  </si>
  <si>
    <t>18 yrs</t>
  </si>
  <si>
    <t>D</t>
  </si>
  <si>
    <t>30 yrs</t>
  </si>
  <si>
    <t>E</t>
  </si>
  <si>
    <t>16 yrs</t>
  </si>
  <si>
    <t>Futures contract: ZB (30-Year Treasury Bond Futures)</t>
  </si>
  <si>
    <t>Futures Price: 101</t>
  </si>
  <si>
    <t>Contract Size: $100,000</t>
  </si>
  <si>
    <t>Delivery Month: September</t>
  </si>
  <si>
    <t>Settlement Date: Sept 15</t>
  </si>
  <si>
    <t>Implied Invoice Futures Price</t>
  </si>
  <si>
    <t>Bond Cash Price</t>
  </si>
  <si>
    <t>Gain/Loss</t>
  </si>
  <si>
    <t>Cheapest to deliver is Bond A</t>
  </si>
  <si>
    <t>Futures Cash Price</t>
  </si>
  <si>
    <t xml:space="preserve">Futures Price: </t>
  </si>
  <si>
    <t>3year IR swap example</t>
  </si>
  <si>
    <t>6mth LIBOR rate</t>
  </si>
  <si>
    <t>Floating CF Recd</t>
  </si>
  <si>
    <t>Fixed CF Paid</t>
  </si>
  <si>
    <t>Net CF</t>
  </si>
  <si>
    <t>TOTAL</t>
  </si>
  <si>
    <t>Fixed Rate</t>
  </si>
  <si>
    <t xml:space="preserve">Notional </t>
  </si>
  <si>
    <r>
      <t>X</t>
    </r>
    <r>
      <rPr>
        <vertAlign val="subscript"/>
        <sz val="10"/>
        <rFont val="Arial"/>
        <family val="2"/>
      </rPr>
      <t>1</t>
    </r>
  </si>
  <si>
    <r>
      <t>X</t>
    </r>
    <r>
      <rPr>
        <vertAlign val="subscript"/>
        <sz val="10"/>
        <rFont val="Arial"/>
        <family val="2"/>
      </rPr>
      <t>2</t>
    </r>
  </si>
  <si>
    <r>
      <t>X</t>
    </r>
    <r>
      <rPr>
        <vertAlign val="subscript"/>
        <sz val="10"/>
        <rFont val="Arial"/>
        <family val="2"/>
      </rPr>
      <t>n-2</t>
    </r>
  </si>
  <si>
    <r>
      <t>X</t>
    </r>
    <r>
      <rPr>
        <vertAlign val="subscript"/>
        <sz val="10"/>
        <rFont val="Arial"/>
        <family val="2"/>
      </rPr>
      <t>n-1</t>
    </r>
  </si>
  <si>
    <r>
      <t>X</t>
    </r>
    <r>
      <rPr>
        <vertAlign val="subscript"/>
        <sz val="10"/>
        <rFont val="Arial"/>
        <family val="2"/>
      </rPr>
      <t>n</t>
    </r>
  </si>
  <si>
    <r>
      <t>t</t>
    </r>
    <r>
      <rPr>
        <vertAlign val="subscript"/>
        <sz val="10"/>
        <rFont val="Arial"/>
        <family val="2"/>
      </rPr>
      <t>1</t>
    </r>
  </si>
  <si>
    <r>
      <t>t</t>
    </r>
    <r>
      <rPr>
        <vertAlign val="subscript"/>
        <sz val="10"/>
        <rFont val="Arial"/>
        <family val="2"/>
      </rPr>
      <t>2</t>
    </r>
  </si>
  <si>
    <r>
      <t>t</t>
    </r>
    <r>
      <rPr>
        <vertAlign val="subscript"/>
        <sz val="10"/>
        <rFont val="Arial"/>
        <family val="2"/>
      </rPr>
      <t>n-1</t>
    </r>
  </si>
  <si>
    <r>
      <t>t</t>
    </r>
    <r>
      <rPr>
        <vertAlign val="subscript"/>
        <sz val="10"/>
        <rFont val="Arial"/>
        <family val="2"/>
      </rPr>
      <t>n</t>
    </r>
  </si>
  <si>
    <t xml:space="preserve">n? </t>
  </si>
  <si>
    <t>1?</t>
  </si>
  <si>
    <t xml:space="preserve">(n-2)?  </t>
  </si>
  <si>
    <t xml:space="preserve">   2?</t>
  </si>
  <si>
    <t xml:space="preserve">(n-1)?  </t>
  </si>
  <si>
    <r>
      <t>Cashflow at time t</t>
    </r>
    <r>
      <rPr>
        <vertAlign val="subscript"/>
        <sz val="10"/>
        <rFont val="Arial"/>
        <family val="2"/>
      </rPr>
      <t>1</t>
    </r>
  </si>
  <si>
    <r>
      <t>Pay X</t>
    </r>
    <r>
      <rPr>
        <vertAlign val="subscript"/>
        <sz val="10"/>
        <rFont val="Arial"/>
        <family val="2"/>
      </rPr>
      <t>1</t>
    </r>
    <r>
      <rPr>
        <sz val="10"/>
        <rFont val="Arial"/>
        <family val="2"/>
      </rPr>
      <t xml:space="preserve"> = N * t</t>
    </r>
    <r>
      <rPr>
        <vertAlign val="subscript"/>
        <sz val="10"/>
        <rFont val="Arial"/>
        <family val="2"/>
      </rPr>
      <t>1</t>
    </r>
    <r>
      <rPr>
        <sz val="10"/>
        <rFont val="Arial"/>
        <family val="2"/>
      </rPr>
      <t xml:space="preserve"> * SR</t>
    </r>
  </si>
  <si>
    <r>
      <t>Rec 1? = N * t</t>
    </r>
    <r>
      <rPr>
        <vertAlign val="subscript"/>
        <sz val="10"/>
        <rFont val="Arial"/>
        <family val="2"/>
      </rPr>
      <t>1</t>
    </r>
    <r>
      <rPr>
        <sz val="10"/>
        <rFont val="Arial"/>
        <family val="2"/>
      </rPr>
      <t xml:space="preserve"> * Libor rate (0,t</t>
    </r>
    <r>
      <rPr>
        <vertAlign val="subscript"/>
        <sz val="10"/>
        <rFont val="Arial"/>
        <family val="2"/>
      </rPr>
      <t>1</t>
    </r>
    <r>
      <rPr>
        <sz val="10"/>
        <rFont val="Arial"/>
        <family val="2"/>
      </rPr>
      <t>)</t>
    </r>
  </si>
  <si>
    <r>
      <t>Cashflow at time t</t>
    </r>
    <r>
      <rPr>
        <vertAlign val="subscript"/>
        <sz val="10"/>
        <rFont val="Arial"/>
        <family val="2"/>
      </rPr>
      <t>2</t>
    </r>
    <r>
      <rPr>
        <sz val="10"/>
        <rFont val="Arial"/>
        <family val="2"/>
      </rPr>
      <t/>
    </r>
  </si>
  <si>
    <r>
      <t>Pay X</t>
    </r>
    <r>
      <rPr>
        <vertAlign val="subscript"/>
        <sz val="10"/>
        <rFont val="Arial"/>
        <family val="2"/>
      </rPr>
      <t>2</t>
    </r>
    <r>
      <rPr>
        <sz val="10"/>
        <rFont val="Arial"/>
        <family val="2"/>
      </rPr>
      <t xml:space="preserve"> = N * t</t>
    </r>
    <r>
      <rPr>
        <vertAlign val="subscript"/>
        <sz val="10"/>
        <rFont val="Arial"/>
        <family val="2"/>
      </rPr>
      <t>2</t>
    </r>
    <r>
      <rPr>
        <sz val="10"/>
        <rFont val="Arial"/>
        <family val="2"/>
      </rPr>
      <t xml:space="preserve"> * SR</t>
    </r>
  </si>
  <si>
    <r>
      <t>Rec 2? = N * t</t>
    </r>
    <r>
      <rPr>
        <vertAlign val="subscript"/>
        <sz val="10"/>
        <rFont val="Arial"/>
        <family val="2"/>
      </rPr>
      <t>2</t>
    </r>
    <r>
      <rPr>
        <sz val="10"/>
        <rFont val="Arial"/>
        <family val="2"/>
      </rPr>
      <t xml:space="preserve"> * Libor rate (t</t>
    </r>
    <r>
      <rPr>
        <vertAlign val="subscript"/>
        <sz val="10"/>
        <rFont val="Arial"/>
        <family val="2"/>
      </rPr>
      <t>1</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 xml:space="preserve">) </t>
    </r>
  </si>
  <si>
    <r>
      <t>Cashflow at time t</t>
    </r>
    <r>
      <rPr>
        <vertAlign val="subscript"/>
        <sz val="10"/>
        <rFont val="Arial"/>
        <family val="2"/>
      </rPr>
      <t>n-1</t>
    </r>
  </si>
  <si>
    <r>
      <t>Pay X</t>
    </r>
    <r>
      <rPr>
        <vertAlign val="subscript"/>
        <sz val="10"/>
        <rFont val="Arial"/>
        <family val="2"/>
      </rPr>
      <t>n-1</t>
    </r>
    <r>
      <rPr>
        <sz val="10"/>
        <rFont val="Arial"/>
        <family val="2"/>
      </rPr>
      <t xml:space="preserve"> = N * t</t>
    </r>
    <r>
      <rPr>
        <vertAlign val="subscript"/>
        <sz val="10"/>
        <rFont val="Arial"/>
        <family val="2"/>
      </rPr>
      <t>n-1</t>
    </r>
    <r>
      <rPr>
        <sz val="10"/>
        <rFont val="Arial"/>
        <family val="2"/>
      </rPr>
      <t xml:space="preserve"> * SR</t>
    </r>
  </si>
  <si>
    <r>
      <t>Rec (n-1)? = N * t</t>
    </r>
    <r>
      <rPr>
        <vertAlign val="subscript"/>
        <sz val="10"/>
        <rFont val="Arial"/>
        <family val="2"/>
      </rPr>
      <t>n-1</t>
    </r>
    <r>
      <rPr>
        <sz val="10"/>
        <rFont val="Arial"/>
        <family val="2"/>
      </rPr>
      <t xml:space="preserve"> * Libor rate (t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n-2</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n-1</t>
    </r>
    <r>
      <rPr>
        <sz val="10"/>
        <rFont val="Arial"/>
        <family val="2"/>
      </rPr>
      <t xml:space="preserve">) </t>
    </r>
  </si>
  <si>
    <r>
      <t>Cashflow at time t</t>
    </r>
    <r>
      <rPr>
        <vertAlign val="subscript"/>
        <sz val="10"/>
        <rFont val="Arial"/>
        <family val="2"/>
      </rPr>
      <t>n</t>
    </r>
    <r>
      <rPr>
        <sz val="10"/>
        <rFont val="Arial"/>
        <family val="2"/>
      </rPr>
      <t/>
    </r>
  </si>
  <si>
    <r>
      <t>Pay X</t>
    </r>
    <r>
      <rPr>
        <vertAlign val="subscript"/>
        <sz val="10"/>
        <rFont val="Arial"/>
        <family val="2"/>
      </rPr>
      <t>n</t>
    </r>
    <r>
      <rPr>
        <sz val="10"/>
        <rFont val="Arial"/>
        <family val="2"/>
      </rPr>
      <t xml:space="preserve"> = N * t</t>
    </r>
    <r>
      <rPr>
        <vertAlign val="subscript"/>
        <sz val="10"/>
        <rFont val="Arial"/>
        <family val="2"/>
      </rPr>
      <t>n</t>
    </r>
    <r>
      <rPr>
        <sz val="10"/>
        <rFont val="Arial"/>
        <family val="2"/>
      </rPr>
      <t xml:space="preserve"> * SR</t>
    </r>
  </si>
  <si>
    <r>
      <t>Rec n? = N * t</t>
    </r>
    <r>
      <rPr>
        <vertAlign val="subscript"/>
        <sz val="10"/>
        <rFont val="Arial"/>
        <family val="2"/>
      </rPr>
      <t>n</t>
    </r>
    <r>
      <rPr>
        <sz val="10"/>
        <rFont val="Arial"/>
        <family val="2"/>
      </rPr>
      <t xml:space="preserve"> * Libor rate (t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n-1,</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t>
    </r>
    <r>
      <rPr>
        <sz val="10"/>
        <rFont val="Arial"/>
        <family val="2"/>
      </rPr>
      <t xml:space="preserve">) </t>
    </r>
  </si>
  <si>
    <t>Fixed Flows</t>
  </si>
  <si>
    <t>Floating Flows</t>
  </si>
  <si>
    <r>
      <t>N*SR*t</t>
    </r>
    <r>
      <rPr>
        <vertAlign val="subscript"/>
        <sz val="10"/>
        <rFont val="Arial"/>
        <family val="2"/>
      </rPr>
      <t>1</t>
    </r>
  </si>
  <si>
    <r>
      <t>N*FR(0,t</t>
    </r>
    <r>
      <rPr>
        <vertAlign val="subscript"/>
        <sz val="10"/>
        <rFont val="Arial"/>
        <family val="2"/>
      </rPr>
      <t>1</t>
    </r>
    <r>
      <rPr>
        <sz val="10"/>
        <rFont val="Arial"/>
        <family val="2"/>
      </rPr>
      <t>)*t</t>
    </r>
    <r>
      <rPr>
        <vertAlign val="subscript"/>
        <sz val="10"/>
        <rFont val="Arial"/>
        <family val="2"/>
      </rPr>
      <t>1</t>
    </r>
  </si>
  <si>
    <r>
      <t>t</t>
    </r>
    <r>
      <rPr>
        <vertAlign val="subscript"/>
        <sz val="10"/>
        <rFont val="Arial"/>
        <family val="2"/>
      </rPr>
      <t>2</t>
    </r>
    <r>
      <rPr>
        <sz val="11"/>
        <color theme="1"/>
        <rFont val="Calibri"/>
        <family val="2"/>
        <scheme val="minor"/>
      </rPr>
      <t/>
    </r>
  </si>
  <si>
    <r>
      <t>N*SR*t</t>
    </r>
    <r>
      <rPr>
        <vertAlign val="subscript"/>
        <sz val="10"/>
        <rFont val="Arial"/>
        <family val="2"/>
      </rPr>
      <t>2</t>
    </r>
    <r>
      <rPr>
        <sz val="11"/>
        <color theme="1"/>
        <rFont val="Calibri"/>
        <family val="2"/>
        <scheme val="minor"/>
      </rPr>
      <t/>
    </r>
  </si>
  <si>
    <r>
      <t>N*FR(t</t>
    </r>
    <r>
      <rPr>
        <vertAlign val="subscript"/>
        <sz val="10"/>
        <rFont val="Arial"/>
        <family val="2"/>
      </rPr>
      <t>1</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2</t>
    </r>
  </si>
  <si>
    <r>
      <t>t</t>
    </r>
    <r>
      <rPr>
        <vertAlign val="subscript"/>
        <sz val="10"/>
        <rFont val="Arial"/>
        <family val="2"/>
      </rPr>
      <t>3</t>
    </r>
    <r>
      <rPr>
        <sz val="11"/>
        <color theme="1"/>
        <rFont val="Calibri"/>
        <family val="2"/>
        <scheme val="minor"/>
      </rPr>
      <t/>
    </r>
  </si>
  <si>
    <r>
      <t>N*SR*t</t>
    </r>
    <r>
      <rPr>
        <vertAlign val="subscript"/>
        <sz val="10"/>
        <rFont val="Arial"/>
        <family val="2"/>
      </rPr>
      <t>3</t>
    </r>
    <r>
      <rPr>
        <sz val="11"/>
        <color theme="1"/>
        <rFont val="Calibri"/>
        <family val="2"/>
        <scheme val="minor"/>
      </rPr>
      <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</si>
  <si>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3</t>
    </r>
  </si>
  <si>
    <r>
      <t>t</t>
    </r>
    <r>
      <rPr>
        <vertAlign val="subscript"/>
        <sz val="10"/>
        <rFont val="Arial"/>
        <family val="2"/>
      </rPr>
      <t>4</t>
    </r>
    <r>
      <rPr>
        <sz val="11"/>
        <color theme="1"/>
        <rFont val="Calibri"/>
        <family val="2"/>
        <scheme val="minor"/>
      </rPr>
      <t/>
    </r>
  </si>
  <si>
    <r>
      <t>N*SR*t</t>
    </r>
    <r>
      <rPr>
        <vertAlign val="subscript"/>
        <sz val="10"/>
        <rFont val="Arial"/>
        <family val="2"/>
      </rPr>
      <t>4</t>
    </r>
    <r>
      <rPr>
        <sz val="11"/>
        <color theme="1"/>
        <rFont val="Calibri"/>
        <family val="2"/>
        <scheme val="minor"/>
      </rPr>
      <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</si>
  <si>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4</t>
    </r>
  </si>
  <si>
    <r>
      <t>t</t>
    </r>
    <r>
      <rPr>
        <vertAlign val="subscript"/>
        <sz val="10"/>
        <rFont val="Arial"/>
        <family val="2"/>
      </rPr>
      <t>5</t>
    </r>
    <r>
      <rPr>
        <sz val="11"/>
        <color theme="1"/>
        <rFont val="Calibri"/>
        <family val="2"/>
        <scheme val="minor"/>
      </rPr>
      <t/>
    </r>
  </si>
  <si>
    <r>
      <t>N*SR*t</t>
    </r>
    <r>
      <rPr>
        <vertAlign val="subscript"/>
        <sz val="10"/>
        <rFont val="Arial"/>
        <family val="2"/>
      </rPr>
      <t>5</t>
    </r>
    <r>
      <rPr>
        <sz val="11"/>
        <color theme="1"/>
        <rFont val="Calibri"/>
        <family val="2"/>
        <scheme val="minor"/>
      </rPr>
      <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</si>
  <si>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5</t>
    </r>
  </si>
  <si>
    <r>
      <t>t</t>
    </r>
    <r>
      <rPr>
        <vertAlign val="subscript"/>
        <sz val="10"/>
        <rFont val="Arial"/>
        <family val="2"/>
      </rPr>
      <t>6</t>
    </r>
    <r>
      <rPr>
        <sz val="11"/>
        <color theme="1"/>
        <rFont val="Calibri"/>
        <family val="2"/>
        <scheme val="minor"/>
      </rPr>
      <t/>
    </r>
  </si>
  <si>
    <r>
      <t>N*SR*t</t>
    </r>
    <r>
      <rPr>
        <vertAlign val="subscript"/>
        <sz val="10"/>
        <rFont val="Arial"/>
        <family val="2"/>
      </rPr>
      <t>6</t>
    </r>
    <r>
      <rPr>
        <sz val="11"/>
        <color theme="1"/>
        <rFont val="Calibri"/>
        <family val="2"/>
        <scheme val="minor"/>
      </rPr>
      <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</si>
  <si>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6</t>
    </r>
    <r>
      <rPr>
        <sz val="10"/>
        <rFont val="Arial"/>
        <family val="2"/>
      </rPr>
      <t>)*t</t>
    </r>
    <r>
      <rPr>
        <vertAlign val="subscript"/>
        <sz val="10"/>
        <rFont val="Arial"/>
        <family val="2"/>
      </rPr>
      <t>6</t>
    </r>
  </si>
  <si>
    <r>
      <t>N*SR*t</t>
    </r>
    <r>
      <rPr>
        <vertAlign val="subscript"/>
        <sz val="10"/>
        <rFont val="Arial"/>
        <family val="2"/>
      </rPr>
      <t>n-1</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</si>
  <si>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n-2</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6</t>
    </r>
    <r>
      <rPr>
        <sz val="10"/>
        <rFont val="Arial"/>
        <family val="2"/>
      </rPr>
      <t>+…+t</t>
    </r>
    <r>
      <rPr>
        <vertAlign val="subscript"/>
        <sz val="10"/>
        <rFont val="Arial"/>
        <family val="2"/>
      </rPr>
      <t>n-2</t>
    </r>
    <r>
      <rPr>
        <sz val="10"/>
        <rFont val="Arial"/>
        <family val="2"/>
      </rPr>
      <t>,t</t>
    </r>
    <r>
      <rPr>
        <vertAlign val="subscript"/>
        <sz val="10"/>
        <rFont val="Arial"/>
        <family val="2"/>
      </rPr>
      <t>n-1</t>
    </r>
    <r>
      <rPr>
        <sz val="10"/>
        <rFont val="Arial"/>
        <family val="2"/>
      </rPr>
      <t>)*t</t>
    </r>
    <r>
      <rPr>
        <vertAlign val="subscript"/>
        <sz val="10"/>
        <rFont val="Arial"/>
        <family val="2"/>
      </rPr>
      <t>n-1</t>
    </r>
  </si>
  <si>
    <r>
      <t>N*SR*t</t>
    </r>
    <r>
      <rPr>
        <vertAlign val="subscript"/>
        <sz val="10"/>
        <rFont val="Arial"/>
        <family val="2"/>
      </rPr>
      <t>n</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</si>
  <si>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n-2</t>
    </r>
    <r>
      <rPr>
        <sz val="10"/>
        <rFont val="Arial"/>
        <family val="2"/>
      </rPr>
      <t>+t</t>
    </r>
    <r>
      <rPr>
        <vertAlign val="subscript"/>
        <sz val="10"/>
        <rFont val="Arial"/>
        <family val="2"/>
      </rPr>
      <t>n-1</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6</t>
    </r>
    <r>
      <rPr>
        <sz val="10"/>
        <rFont val="Arial"/>
        <family val="2"/>
      </rPr>
      <t>+…+t</t>
    </r>
    <r>
      <rPr>
        <vertAlign val="subscript"/>
        <sz val="10"/>
        <rFont val="Arial"/>
        <family val="2"/>
      </rPr>
      <t>n-2</t>
    </r>
    <r>
      <rPr>
        <sz val="10"/>
        <rFont val="Arial"/>
        <family val="2"/>
      </rPr>
      <t>,t</t>
    </r>
    <r>
      <rPr>
        <vertAlign val="subscript"/>
        <sz val="10"/>
        <rFont val="Arial"/>
        <family val="2"/>
      </rPr>
      <t>n-1</t>
    </r>
    <r>
      <rPr>
        <sz val="10"/>
        <rFont val="Arial"/>
        <family val="2"/>
      </rPr>
      <t>+t</t>
    </r>
    <r>
      <rPr>
        <vertAlign val="subscript"/>
        <sz val="10"/>
        <rFont val="Arial"/>
        <family val="2"/>
      </rPr>
      <t>n</t>
    </r>
    <r>
      <rPr>
        <sz val="10"/>
        <rFont val="Arial"/>
        <family val="2"/>
      </rPr>
      <t>)*t</t>
    </r>
    <r>
      <rPr>
        <vertAlign val="subscript"/>
        <sz val="10"/>
        <rFont val="Arial"/>
        <family val="2"/>
      </rPr>
      <t>n</t>
    </r>
  </si>
  <si>
    <t>PV(Fixed Flows)</t>
  </si>
  <si>
    <t>PV(Floating Flows)</t>
  </si>
  <si>
    <r>
      <t>N*SR*t</t>
    </r>
    <r>
      <rPr>
        <vertAlign val="subscript"/>
        <sz val="10"/>
        <rFont val="Arial"/>
        <family val="2"/>
      </rPr>
      <t>1</t>
    </r>
    <r>
      <rPr>
        <sz val="10"/>
        <rFont val="Arial"/>
        <family val="2"/>
      </rPr>
      <t>*Df(0,t</t>
    </r>
    <r>
      <rPr>
        <vertAlign val="subscript"/>
        <sz val="10"/>
        <rFont val="Arial"/>
        <family val="2"/>
      </rPr>
      <t>1</t>
    </r>
    <r>
      <rPr>
        <sz val="10"/>
        <rFont val="Arial"/>
        <family val="2"/>
      </rPr>
      <t>)</t>
    </r>
  </si>
  <si>
    <r>
      <t>N*FR(0,t</t>
    </r>
    <r>
      <rPr>
        <vertAlign val="subscript"/>
        <sz val="10"/>
        <rFont val="Arial"/>
        <family val="2"/>
      </rPr>
      <t>1</t>
    </r>
    <r>
      <rPr>
        <sz val="10"/>
        <rFont val="Arial"/>
        <family val="2"/>
      </rPr>
      <t>)*t</t>
    </r>
    <r>
      <rPr>
        <vertAlign val="subscript"/>
        <sz val="10"/>
        <rFont val="Arial"/>
        <family val="2"/>
      </rPr>
      <t>1</t>
    </r>
    <r>
      <rPr>
        <sz val="10"/>
        <rFont val="Arial"/>
        <family val="2"/>
      </rPr>
      <t>*Df(0,t</t>
    </r>
    <r>
      <rPr>
        <vertAlign val="subscript"/>
        <sz val="10"/>
        <rFont val="Arial"/>
        <family val="2"/>
      </rPr>
      <t>1</t>
    </r>
    <r>
      <rPr>
        <sz val="10"/>
        <rFont val="Arial"/>
        <family val="2"/>
      </rPr>
      <t>)</t>
    </r>
  </si>
  <si>
    <r>
      <t>N*SR*t</t>
    </r>
    <r>
      <rPr>
        <vertAlign val="subscript"/>
        <sz val="10"/>
        <rFont val="Arial"/>
        <family val="2"/>
      </rPr>
      <t>2</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
    </r>
  </si>
  <si>
    <r>
      <t>N*FR(t</t>
    </r>
    <r>
      <rPr>
        <vertAlign val="subscript"/>
        <sz val="10"/>
        <rFont val="Arial"/>
        <family val="2"/>
      </rPr>
      <t>1</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2</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
    </r>
  </si>
  <si>
    <r>
      <t>N*SR*t</t>
    </r>
    <r>
      <rPr>
        <vertAlign val="subscript"/>
        <sz val="10"/>
        <rFont val="Arial"/>
        <family val="2"/>
      </rPr>
      <t>3</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</si>
  <si>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3</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
    </r>
  </si>
  <si>
    <r>
      <t>N*SR*t</t>
    </r>
    <r>
      <rPr>
        <vertAlign val="subscript"/>
        <sz val="10"/>
        <rFont val="Arial"/>
        <family val="2"/>
      </rPr>
      <t>4</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4</t>
    </r>
    <r>
      <rPr>
        <sz val="10"/>
        <rFont val="Arial"/>
        <family val="2"/>
      </rPr>
      <t>)</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</si>
  <si>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4</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4</t>
    </r>
    <r>
      <rPr>
        <sz val="10"/>
        <rFont val="Arial"/>
        <family val="2"/>
      </rPr>
      <t>)</t>
    </r>
  </si>
  <si>
    <r>
      <t>N*SR*t</t>
    </r>
    <r>
      <rPr>
        <vertAlign val="subscript"/>
        <sz val="10"/>
        <rFont val="Arial"/>
        <family val="2"/>
      </rPr>
      <t>5</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5</t>
    </r>
    <r>
      <rPr>
        <sz val="10"/>
        <rFont val="Arial"/>
        <family val="2"/>
      </rPr>
      <t>)</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</si>
  <si>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5</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5</t>
    </r>
    <r>
      <rPr>
        <sz val="10"/>
        <rFont val="Arial"/>
        <family val="2"/>
      </rPr>
      <t>)</t>
    </r>
  </si>
  <si>
    <r>
      <t>N*SR*t</t>
    </r>
    <r>
      <rPr>
        <vertAlign val="subscript"/>
        <sz val="10"/>
        <rFont val="Arial"/>
        <family val="2"/>
      </rPr>
      <t>6</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6</t>
    </r>
    <r>
      <rPr>
        <sz val="10"/>
        <rFont val="Arial"/>
        <family val="2"/>
      </rPr>
      <t>)</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</si>
  <si>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6</t>
    </r>
    <r>
      <rPr>
        <sz val="10"/>
        <rFont val="Arial"/>
        <family val="2"/>
      </rPr>
      <t>)*t</t>
    </r>
    <r>
      <rPr>
        <vertAlign val="subscript"/>
        <sz val="10"/>
        <rFont val="Arial"/>
        <family val="2"/>
      </rPr>
      <t>6</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6</t>
    </r>
    <r>
      <rPr>
        <sz val="10"/>
        <rFont val="Arial"/>
        <family val="2"/>
      </rPr>
      <t>)</t>
    </r>
  </si>
  <si>
    <r>
      <t>N*SR*t</t>
    </r>
    <r>
      <rPr>
        <vertAlign val="subscript"/>
        <sz val="10"/>
        <rFont val="Arial"/>
        <family val="2"/>
      </rPr>
      <t>n-1</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n-1</t>
    </r>
    <r>
      <rPr>
        <sz val="10"/>
        <rFont val="Arial"/>
        <family val="2"/>
      </rPr>
      <t>)</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</si>
  <si>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n-2</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6</t>
    </r>
    <r>
      <rPr>
        <sz val="10"/>
        <rFont val="Arial"/>
        <family val="2"/>
      </rPr>
      <t>+…+t</t>
    </r>
    <r>
      <rPr>
        <vertAlign val="subscript"/>
        <sz val="10"/>
        <rFont val="Arial"/>
        <family val="2"/>
      </rPr>
      <t>n-2</t>
    </r>
    <r>
      <rPr>
        <sz val="10"/>
        <rFont val="Arial"/>
        <family val="2"/>
      </rPr>
      <t>,t</t>
    </r>
    <r>
      <rPr>
        <vertAlign val="subscript"/>
        <sz val="10"/>
        <rFont val="Arial"/>
        <family val="2"/>
      </rPr>
      <t>n-1</t>
    </r>
    <r>
      <rPr>
        <sz val="10"/>
        <rFont val="Arial"/>
        <family val="2"/>
      </rPr>
      <t>)*t</t>
    </r>
    <r>
      <rPr>
        <vertAlign val="subscript"/>
        <sz val="10"/>
        <rFont val="Arial"/>
        <family val="2"/>
      </rPr>
      <t>n-1</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n-1</t>
    </r>
    <r>
      <rPr>
        <sz val="10"/>
        <rFont val="Arial"/>
        <family val="2"/>
      </rPr>
      <t>)</t>
    </r>
  </si>
  <si>
    <r>
      <t>N*SR*t</t>
    </r>
    <r>
      <rPr>
        <vertAlign val="subscript"/>
        <sz val="10"/>
        <rFont val="Arial"/>
        <family val="2"/>
      </rPr>
      <t>n</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t>
    </r>
    <r>
      <rPr>
        <sz val="10"/>
        <rFont val="Arial"/>
        <family val="2"/>
      </rPr>
      <t>)</t>
    </r>
  </si>
  <si>
    <r>
      <t>N*FR(t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n-2</t>
    </r>
    <r>
      <rPr>
        <sz val="10"/>
        <rFont val="Arial"/>
        <family val="2"/>
      </rPr>
      <t>+t</t>
    </r>
    <r>
      <rPr>
        <vertAlign val="subscript"/>
        <sz val="10"/>
        <rFont val="Arial"/>
        <family val="2"/>
      </rPr>
      <t>n-1</t>
    </r>
    <r>
      <rPr>
        <sz val="10"/>
        <rFont val="Arial"/>
        <family val="2"/>
      </rPr>
      <t>,t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3</t>
    </r>
    <r>
      <rPr>
        <sz val="10"/>
        <rFont val="Arial"/>
        <family val="2"/>
      </rPr>
      <t>+t</t>
    </r>
    <r>
      <rPr>
        <vertAlign val="subscript"/>
        <sz val="10"/>
        <rFont val="Arial"/>
        <family val="2"/>
      </rPr>
      <t>4</t>
    </r>
    <r>
      <rPr>
        <sz val="10"/>
        <rFont val="Arial"/>
        <family val="2"/>
      </rPr>
      <t>+t</t>
    </r>
    <r>
      <rPr>
        <vertAlign val="subscript"/>
        <sz val="10"/>
        <rFont val="Arial"/>
        <family val="2"/>
      </rPr>
      <t>5</t>
    </r>
    <r>
      <rPr>
        <sz val="10"/>
        <rFont val="Arial"/>
        <family val="2"/>
      </rPr>
      <t>+t</t>
    </r>
    <r>
      <rPr>
        <vertAlign val="subscript"/>
        <sz val="10"/>
        <rFont val="Arial"/>
        <family val="2"/>
      </rPr>
      <t>6</t>
    </r>
    <r>
      <rPr>
        <sz val="10"/>
        <rFont val="Arial"/>
        <family val="2"/>
      </rPr>
      <t>+…+t</t>
    </r>
    <r>
      <rPr>
        <vertAlign val="subscript"/>
        <sz val="10"/>
        <rFont val="Arial"/>
        <family val="2"/>
      </rPr>
      <t>n-2</t>
    </r>
    <r>
      <rPr>
        <sz val="10"/>
        <rFont val="Arial"/>
        <family val="2"/>
      </rPr>
      <t>,t</t>
    </r>
    <r>
      <rPr>
        <vertAlign val="subscript"/>
        <sz val="10"/>
        <rFont val="Arial"/>
        <family val="2"/>
      </rPr>
      <t>n-1</t>
    </r>
    <r>
      <rPr>
        <sz val="10"/>
        <rFont val="Arial"/>
        <family val="2"/>
      </rPr>
      <t>+t</t>
    </r>
    <r>
      <rPr>
        <vertAlign val="subscript"/>
        <sz val="10"/>
        <rFont val="Arial"/>
        <family val="2"/>
      </rPr>
      <t>n</t>
    </r>
    <r>
      <rPr>
        <sz val="10"/>
        <rFont val="Arial"/>
        <family val="2"/>
      </rPr>
      <t>)*t</t>
    </r>
    <r>
      <rPr>
        <vertAlign val="subscript"/>
        <sz val="10"/>
        <rFont val="Arial"/>
        <family val="2"/>
      </rPr>
      <t>n</t>
    </r>
    <r>
      <rPr>
        <sz val="10"/>
        <rFont val="Arial"/>
        <family val="2"/>
      </rPr>
      <t>*Df(0,t</t>
    </r>
    <r>
      <rPr>
        <vertAlign val="subscript"/>
        <sz val="10"/>
        <rFont val="Arial"/>
        <family val="2"/>
      </rPr>
      <t>1</t>
    </r>
    <r>
      <rPr>
        <sz val="10"/>
        <rFont val="Arial"/>
        <family val="2"/>
      </rPr>
      <t>+t</t>
    </r>
    <r>
      <rPr>
        <vertAlign val="subscript"/>
        <sz val="10"/>
        <rFont val="Arial"/>
        <family val="2"/>
      </rPr>
      <t>2</t>
    </r>
    <r>
      <rPr>
        <sz val="10"/>
        <rFont val="Arial"/>
        <family val="2"/>
      </rPr>
      <t>+…+t</t>
    </r>
    <r>
      <rPr>
        <vertAlign val="subscript"/>
        <sz val="10"/>
        <rFont val="Arial"/>
        <family val="2"/>
      </rPr>
      <t>n</t>
    </r>
    <r>
      <rPr>
        <sz val="10"/>
        <rFont val="Arial"/>
        <family val="2"/>
      </rPr>
      <t>)</t>
    </r>
  </si>
  <si>
    <t>N*SR*</t>
  </si>
  <si>
    <t xml:space="preserve">N * </t>
  </si>
  <si>
    <t>Discount Factors (Dfi)</t>
  </si>
  <si>
    <t>&lt;&lt;1st floating rate set</t>
  </si>
  <si>
    <t>&lt;&lt;2ndfloating rate set</t>
  </si>
  <si>
    <t>&lt;&lt;1st cashflow exchanged</t>
  </si>
  <si>
    <t>&lt;&lt;3rd floating rate set</t>
  </si>
  <si>
    <t>&lt;&lt;2nd cashflow exchanged</t>
  </si>
  <si>
    <t>&lt;&lt;4th floating rate set</t>
  </si>
  <si>
    <t>&lt;&lt;3rd cashflow exchanged</t>
  </si>
  <si>
    <t>&lt;&lt;5th floating rate set</t>
  </si>
  <si>
    <t>&lt;&lt;4th cashflow exchanged</t>
  </si>
  <si>
    <t>&lt;&lt;6th floating rate set</t>
  </si>
  <si>
    <t>&lt;&lt;5th cashflow exchanged</t>
  </si>
  <si>
    <t>&lt;&lt;6th cashflow exchanged</t>
  </si>
  <si>
    <t>Time (ti)</t>
  </si>
  <si>
    <t>Fwd Rates (Fi)</t>
  </si>
  <si>
    <t>Fi * ti* Dfi</t>
  </si>
  <si>
    <t>ti* Dfi</t>
  </si>
  <si>
    <t>SR</t>
  </si>
  <si>
    <t>Swap Rate  (M1)</t>
  </si>
  <si>
    <t>Swap Rate  (M2)</t>
  </si>
  <si>
    <t xml:space="preserve">Constant Principal </t>
  </si>
  <si>
    <t>Accreting Principal</t>
  </si>
  <si>
    <t>Ammortizing Principal</t>
  </si>
  <si>
    <t>Rollercoaster Principal</t>
  </si>
  <si>
    <t>LIBOR swap</t>
  </si>
  <si>
    <t>LIBOR-in-advance swap</t>
  </si>
  <si>
    <t>LIBOR-in-arrears swap</t>
  </si>
  <si>
    <t>Setting Time</t>
  </si>
  <si>
    <t>Settling Time</t>
  </si>
  <si>
    <t>Set</t>
  </si>
  <si>
    <t>Settle</t>
  </si>
  <si>
    <t>assume amazon is currently trading at 245</t>
  </si>
  <si>
    <t>to buy a amazon call expiring in 2 days with a strike of 245 would cost us about 1.5</t>
  </si>
  <si>
    <t>if the current stock price is now 250, would this option (i.e a call with strike of 245) be lesser than 1.5 or more than 1.5?</t>
  </si>
  <si>
    <t>dividend</t>
  </si>
  <si>
    <t>delta t</t>
  </si>
  <si>
    <t>X</t>
  </si>
  <si>
    <t>Black-Scholes-Merton</t>
  </si>
  <si>
    <t>Put Prem</t>
  </si>
  <si>
    <t>T</t>
  </si>
  <si>
    <t>Exercise 1</t>
  </si>
  <si>
    <t>Exercise 2</t>
  </si>
  <si>
    <t>Exercise 3</t>
  </si>
  <si>
    <t>Exercise 4</t>
  </si>
  <si>
    <t>Exercise 5</t>
  </si>
  <si>
    <t>Stock price Tree</t>
  </si>
  <si>
    <t>Step 6</t>
  </si>
  <si>
    <t>Step 5</t>
  </si>
  <si>
    <t>Step 4</t>
  </si>
  <si>
    <t>Step 3</t>
  </si>
  <si>
    <t>Step 2</t>
  </si>
  <si>
    <t>Step 1</t>
  </si>
  <si>
    <t>Option Price Tree</t>
  </si>
  <si>
    <t>Exercise Type</t>
  </si>
  <si>
    <t xml:space="preserve">Exercise </t>
  </si>
  <si>
    <t>And Vice Versa</t>
  </si>
  <si>
    <t>Number of barrels</t>
  </si>
  <si>
    <t>Contract Size/Barrel</t>
  </si>
  <si>
    <t>Oct Fut Price</t>
  </si>
  <si>
    <t>Sell Oil using May Spot Price</t>
  </si>
  <si>
    <t>Sell Oil using Oct Spot Price</t>
  </si>
  <si>
    <t>Profit From Unwinding</t>
  </si>
  <si>
    <t>Revenue From Sale Using Oct Spot</t>
  </si>
  <si>
    <t>Total Income (with hedging)</t>
  </si>
  <si>
    <t>Sell Oil on 11 May at spot price</t>
  </si>
  <si>
    <t>Don’t do anything on 11 May</t>
  </si>
  <si>
    <t>Sell Oil on 10 Oct at spot price</t>
  </si>
  <si>
    <t>Strategy 3: Buy futures contract</t>
  </si>
  <si>
    <t>Sell futures contract on 11 May</t>
  </si>
  <si>
    <t>Buy back futures contract on 10 Oct</t>
  </si>
  <si>
    <t>Annual Compounded Returns</t>
  </si>
  <si>
    <t>EXAMPLE:</t>
  </si>
  <si>
    <t>5 basis points on 1 million</t>
  </si>
  <si>
    <t>5 basis points on 100 million</t>
  </si>
  <si>
    <t>This is for equity!!!!!</t>
  </si>
  <si>
    <t>In the fixed income world</t>
  </si>
  <si>
    <t>Suppose we have 100 million dollars worth of 5-year bonds and 100 million dollars worth of 30-year bonds</t>
  </si>
  <si>
    <t>Suppose further that the duration of a 5-year bond is 4.3  and the duration of a 30-year bond is 17</t>
  </si>
  <si>
    <t xml:space="preserve">The impact of 5 bps change on a 5-year bond is </t>
  </si>
  <si>
    <t xml:space="preserve">The impact of 5 bps change on a 30-year bond is </t>
  </si>
  <si>
    <t>SO WE NEED TO FIX THIS. BUT HOW?</t>
  </si>
  <si>
    <t>Interest Accrual period</t>
  </si>
  <si>
    <t>Accrued Int</t>
  </si>
  <si>
    <t>Stub Period</t>
  </si>
  <si>
    <t>Bond Maturity</t>
  </si>
  <si>
    <t>&lt;&lt;&lt;Coupon paid semi-annually</t>
  </si>
  <si>
    <t>Current Price</t>
  </si>
  <si>
    <t>Day Count Convention</t>
  </si>
  <si>
    <t>A/A</t>
  </si>
  <si>
    <t>Bond Yield</t>
  </si>
  <si>
    <t>Step 1:   Write down the cashflow dates immediately before/after the today</t>
  </si>
  <si>
    <t>Step 2:   Calculate Accrued Interest  and calculate Cash Price (Dirty Price) to match</t>
  </si>
  <si>
    <t>Cash Price (Dirty Price)</t>
  </si>
  <si>
    <t>Step 3:  Write down all the coupon dates (from today to end)</t>
  </si>
  <si>
    <t>Step 4:   Write down the CFs on these dates</t>
  </si>
  <si>
    <t>Step 5:   Discount the CFs using the standard YTM formula</t>
  </si>
  <si>
    <t>Step 6:   No adjustment need for stub period</t>
  </si>
  <si>
    <t xml:space="preserve">              is not a complete period (I.e. the usual units of 1, 2, 3, 4, 5, 6)</t>
  </si>
  <si>
    <t>&lt;&lt;&lt; This is infact the dirty price</t>
  </si>
  <si>
    <t>Step 7:   Iterate the input in Cell B6 until the value in Cell D61 matches the value in Cell C17</t>
  </si>
  <si>
    <t xml:space="preserve">Step 8:  Check using Excel "Price" Function </t>
  </si>
  <si>
    <t>&lt;&lt;&lt;Gives a clean price in Cell B4</t>
  </si>
  <si>
    <t xml:space="preserve">              Can also use the Excel "Yield" Function</t>
  </si>
  <si>
    <t>&lt;&lt;&lt;Matches Cell B6</t>
  </si>
  <si>
    <t xml:space="preserve">Accrued Interest </t>
  </si>
  <si>
    <t>&lt;&lt;&lt;Using the convention A/A</t>
  </si>
  <si>
    <t>Step 6:   Make adjustment for the fact that the discounting from Cell C42 - Cell C41, Cell C43 - Cell C41,…, Cell C47 - Cell C41</t>
  </si>
  <si>
    <t>STUB PERIOD</t>
  </si>
  <si>
    <t>&lt;&lt;&lt;Matches value in Cell B6</t>
  </si>
  <si>
    <t>A/360</t>
  </si>
  <si>
    <t>&lt;&lt;&lt;Using the convention A/360</t>
  </si>
  <si>
    <t># of days between June 14 and Dec 14</t>
  </si>
  <si>
    <t>days in week</t>
  </si>
  <si>
    <t># of business days</t>
  </si>
  <si>
    <t>&lt;&lt;new settlement date</t>
  </si>
  <si>
    <t xml:space="preserve"> PV (CFi)</t>
  </si>
  <si>
    <t>ti * PV(CFi)/P</t>
  </si>
  <si>
    <t>Price/Duration Calcuation</t>
  </si>
  <si>
    <t>Check Using Financial Functions</t>
  </si>
  <si>
    <t>1)   Clean bond price</t>
  </si>
  <si>
    <t>2)   Accrued Interest</t>
  </si>
  <si>
    <t>3)   Dirty bond price</t>
  </si>
  <si>
    <t>4)   Macaulay Duration</t>
  </si>
  <si>
    <t>years</t>
  </si>
  <si>
    <t>5)   Modified Duration</t>
  </si>
  <si>
    <t>6)   Dollar Duration</t>
  </si>
  <si>
    <t>1)</t>
  </si>
  <si>
    <t>should the joining of the dots be done using linear or cubic or something else?</t>
  </si>
  <si>
    <t>2)</t>
  </si>
  <si>
    <t>how should we join the points from 0 to first time point?</t>
  </si>
  <si>
    <t>3)</t>
  </si>
  <si>
    <t>how do we extend the curve after the last point?</t>
  </si>
  <si>
    <t>4)</t>
  </si>
  <si>
    <t>how are the instruments chosen so as to construct the zero rates?</t>
  </si>
  <si>
    <t>Time 0mth:</t>
  </si>
  <si>
    <t>Current stock price S0</t>
  </si>
  <si>
    <t>Continuously compounded risk free rate</t>
  </si>
  <si>
    <t>Continuously compounded dividend rate</t>
  </si>
  <si>
    <t>Life of forward contract (months)</t>
  </si>
  <si>
    <t>Value of Forward</t>
  </si>
  <si>
    <t>Time 2 mths later:</t>
  </si>
  <si>
    <t>Current stock price</t>
  </si>
  <si>
    <t>Value of forward contract</t>
  </si>
  <si>
    <t>&lt;&lt;expiring same time as above</t>
  </si>
  <si>
    <t>Difference in forward value 3 mths from now</t>
  </si>
  <si>
    <t>&lt;&lt;&lt;&lt;in the future</t>
  </si>
  <si>
    <t>M2M value*</t>
  </si>
  <si>
    <t>&lt;&lt;Method 1</t>
  </si>
  <si>
    <t>&lt;&lt;Method 2</t>
  </si>
  <si>
    <t>SD Option 1</t>
  </si>
  <si>
    <t>SD Option 2</t>
  </si>
  <si>
    <t>LD Option 3</t>
  </si>
  <si>
    <t>LD Option 4</t>
  </si>
  <si>
    <t>prem</t>
  </si>
  <si>
    <t>K</t>
  </si>
  <si>
    <t>sigma</t>
  </si>
  <si>
    <t>T (yrs)</t>
  </si>
  <si>
    <t>call</t>
  </si>
  <si>
    <t>Payoff To Replicate</t>
  </si>
  <si>
    <t>Slippage</t>
  </si>
  <si>
    <t>mu</t>
  </si>
  <si>
    <t>sig</t>
  </si>
  <si>
    <t>Factor 1</t>
  </si>
  <si>
    <t>Factor 2</t>
  </si>
  <si>
    <t>Factor 3</t>
  </si>
  <si>
    <t>Option Premiu</t>
  </si>
  <si>
    <t>Total Premium</t>
  </si>
  <si>
    <t>Option Strike</t>
  </si>
  <si>
    <t>Payoff if bigger than strike</t>
  </si>
  <si>
    <t>max((S(T))^2-X,0)</t>
  </si>
  <si>
    <t>Exact Value</t>
  </si>
  <si>
    <t>a)</t>
  </si>
  <si>
    <t>b)</t>
  </si>
  <si>
    <t>c)</t>
  </si>
  <si>
    <t>We can use put options to hedge downside risks</t>
  </si>
  <si>
    <t>or use call options to hedge upside risks</t>
  </si>
  <si>
    <t>d)</t>
  </si>
  <si>
    <t>Talked about it before</t>
  </si>
  <si>
    <t>e)</t>
  </si>
  <si>
    <t xml:space="preserve">Recall </t>
  </si>
  <si>
    <t>Call Option Delta</t>
  </si>
  <si>
    <t>&lt;&lt;&lt; recall that this is the sensitivity of option premium to $1 change in underlying stock price</t>
  </si>
  <si>
    <t>Recall also that sensitivity is actually the derivative (i.e.            )</t>
  </si>
  <si>
    <t xml:space="preserve">Since call option premium is given by the formula </t>
  </si>
  <si>
    <t xml:space="preserve">It readily follows that </t>
  </si>
  <si>
    <t xml:space="preserve">From this it follows that call delta is </t>
  </si>
  <si>
    <t xml:space="preserve">Other greeks </t>
  </si>
  <si>
    <t>https://en.wikipedia.org/wiki/Greeks_(finance)</t>
  </si>
  <si>
    <t>f)</t>
  </si>
  <si>
    <t>Prob of exercise</t>
  </si>
  <si>
    <t>Put Call Parity</t>
  </si>
  <si>
    <t>CBOE calculator does not seem to work</t>
  </si>
  <si>
    <t>Note that dividend amount is about 1.54</t>
  </si>
  <si>
    <t>Is this correct?</t>
  </si>
  <si>
    <t>In the continuous compounded setting</t>
  </si>
  <si>
    <t>dividend is given by the formula</t>
  </si>
  <si>
    <t>In our example, since S0 = 100, q = 0.03, T = 0.5</t>
  </si>
  <si>
    <t>Dividend</t>
  </si>
  <si>
    <t xml:space="preserve">If we had a discrete dividend paid on option maturity of </t>
  </si>
  <si>
    <t>value D then</t>
  </si>
  <si>
    <t xml:space="preserve">From the above, since r  = 0.1,  we have that </t>
  </si>
  <si>
    <t>Quoted Call Prem</t>
  </si>
  <si>
    <t>Implied Volatility</t>
  </si>
  <si>
    <t>Net Upfront Prem</t>
  </si>
  <si>
    <t>postion on binary</t>
  </si>
  <si>
    <t>Conditional Premium</t>
  </si>
  <si>
    <t>Zero (rates)</t>
  </si>
  <si>
    <t>Zero (div)</t>
  </si>
  <si>
    <t>zero  (  risk free)</t>
  </si>
  <si>
    <t>zero ( div)</t>
  </si>
  <si>
    <t>fwd (risk free)</t>
  </si>
  <si>
    <t>fwd (div)</t>
  </si>
  <si>
    <t>Bet Payoff</t>
  </si>
  <si>
    <t>&lt;&lt;use implied volatiliity</t>
  </si>
  <si>
    <t>Differnce</t>
  </si>
  <si>
    <t>&lt;&lt;use goal seek to make this zero by changing Cell B6</t>
  </si>
  <si>
    <t>Market Information</t>
  </si>
  <si>
    <t>Valuing Option in Slide 159_1</t>
  </si>
  <si>
    <t>Valuing Option in Slide 159_2</t>
  </si>
  <si>
    <t>option 5</t>
  </si>
  <si>
    <t>option 6</t>
  </si>
  <si>
    <t>Net upfront premium</t>
  </si>
  <si>
    <t>question 2c:</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</si>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</sst>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quot;$&quot;#,##0.00;[Red]\-&quot;$&quot;#,##0.00"/>
    <numFmt numFmtId="165" formatCode="_-&quot;$&quot;* #,##0.00_-;\-&quot;$&quot;* #,##0.00_-;_-&quot;$&quot;* &quot;-&quot;??_-;_-@_-"/>
    <numFmt numFmtId="166" formatCode="_(&quot;$&quot;* #,##0.00_);_(&quot;$&quot;* \(#,##0.00\);_(&quot;$&quot;* &quot;-&quot;??_);_(@_)"/>
    <numFmt numFmtId="167" formatCode="_(* #,##0.00_);_(* \(#,##0.00\);_(* &quot;-&quot;??_);_(@_)"/>
    <numFmt numFmtId="168" formatCode="mmmm\ d\,\ yyyy"/>
    <numFmt numFmtId="169" formatCode="0.00000"/>
    <numFmt numFmtId="170" formatCode="0.000%"/>
    <numFmt numFmtId="171" formatCode="0.0000%"/>
    <numFmt numFmtId="172" formatCode="[$-F800]dddd\,\ mmmm\ dd\,\ yyyy"/>
    <numFmt numFmtId="173" formatCode="[$-1009]mmmm\ d\,\ yyyy;@"/>
    <numFmt numFmtId="174" formatCode="0.0000"/>
    <numFmt numFmtId="175" formatCode="_-&quot;$&quot;* #,##0.000000_-;\-&quot;$&quot;* #,##0.000000_-;_-&quot;$&quot;* &quot;-&quot;??_-;_-@_-"/>
    <numFmt numFmtId="176" formatCode="_(&quot;$&quot;* #,##0.0000_);_(&quot;$&quot;* \(#,##0.0000\);_(&quot;$&quot;* &quot;-&quot;??_);_(@_)"/>
    <numFmt numFmtId="177" formatCode="0.000000000000"/>
    <numFmt numFmtId="178" formatCode="0.00000000000"/>
    <numFmt numFmtId="179" formatCode="_-&quot;$&quot;* #,##0.00000_-;\-&quot;$&quot;* #,##0.00000_-;_-&quot;$&quot;* &quot;-&quot;??_-;_-@_-"/>
    <numFmt numFmtId="180" formatCode="0.0000000000"/>
    <numFmt numFmtId="181" formatCode="0.000"/>
    <numFmt numFmtId="182" formatCode="0.0"/>
    <numFmt numFmtId="183" formatCode="[$USD]\ #,##0.00;\-[$USD]\ #,##0.00"/>
    <numFmt numFmtId="184" formatCode="[$CAD]\ #,##0.00"/>
    <numFmt numFmtId="185" formatCode="0.0%"/>
    <numFmt numFmtId="186" formatCode="0.000000"/>
    <numFmt numFmtId="187" formatCode="0.00000%"/>
    <numFmt numFmtId="188" formatCode="_(&quot;$&quot;* #,##0.000000_);_(&quot;$&quot;* \(#,##0.000000\);_(&quot;$&quot;* &quot;-&quot;??_);_(@_)"/>
    <numFmt numFmtId="189" formatCode="#,##0.0000"/>
    <numFmt numFmtId="190" formatCode="0.00000000"/>
    <numFmt numFmtId="191" formatCode="0.0000000000000000"/>
  </numFmts>
  <fonts count="25"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b/>
      <sz val="10"/>
      <color indexed="10"/>
      <name val="Arial"/>
      <family val="2"/>
    </font>
    <font>
      <sz val="10"/>
      <name val="Arial"/>
      <family val="2"/>
    </font>
    <font>
      <sz val="10"/>
      <name val="Arial"/>
      <family val="2"/>
    </font>
    <font>
      <b/>
      <sz val="8"/>
      <color indexed="81"/>
      <name val="Tahoma"/>
      <family val="2"/>
    </font>
    <font>
      <sz val="8"/>
      <color indexed="81"/>
      <name val="Tahoma"/>
      <family val="2"/>
    </font>
    <font>
      <sz val="10"/>
      <color rgb="FFFF0000"/>
      <name val="Arial"/>
      <family val="2"/>
    </font>
    <font>
      <sz val="9"/>
      <color indexed="81"/>
      <name val="Tahoma"/>
      <family val="2"/>
    </font>
    <font>
      <b/>
      <sz val="9"/>
      <color indexed="81"/>
      <name val="Tahoma"/>
      <family val="2"/>
    </font>
    <font>
      <sz val="10"/>
      <name val="Verdana"/>
      <family val="2"/>
    </font>
    <font>
      <b/>
      <sz val="10"/>
      <color rgb="FFFF0000"/>
      <name val="Arial"/>
      <family val="2"/>
    </font>
    <font>
      <u/>
      <sz val="10"/>
      <color theme="10"/>
      <name val="Arial"/>
      <family val="2"/>
    </font>
    <font>
      <sz val="10"/>
      <color theme="0"/>
      <name val="Arial"/>
      <family val="2"/>
    </font>
    <font>
      <sz val="10"/>
      <name val="Calibri"/>
      <family val="2"/>
    </font>
    <font>
      <sz val="10"/>
      <color indexed="10"/>
      <name val="Arial"/>
      <family val="2"/>
    </font>
    <font>
      <vertAlign val="subscript"/>
      <sz val="10"/>
      <name val="Arial"/>
      <family val="2"/>
    </font>
    <font>
      <sz val="18"/>
      <color rgb="FF000000"/>
      <name val="Arial"/>
      <family val="2"/>
    </font>
    <font>
      <b/>
      <u/>
      <sz val="10"/>
      <color rgb="FFFF0000"/>
      <name val="Arial"/>
      <family val="2"/>
    </font>
    <font>
      <sz val="10"/>
      <color theme="1"/>
      <name val="Arial"/>
      <family val="2"/>
    </font>
    <font>
      <sz val="10"/>
      <color rgb="FFE40000"/>
      <name val="Arial"/>
      <family val="2"/>
    </font>
    <font>
      <b/>
      <sz val="18"/>
      <color rgb="FFE40000"/>
      <name val="Arial"/>
      <family val="2"/>
    </font>
  </fonts>
  <fills count="22">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4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2"/>
        <bgColor indexed="64"/>
      </patternFill>
    </fill>
    <fill>
      <patternFill patternType="solid">
        <fgColor theme="7" tint="0.79998168889431442"/>
        <bgColor indexed="64"/>
      </patternFill>
    </fill>
    <fill>
      <patternFill patternType="solid">
        <fgColor rgb="FFFFFFFF"/>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rgb="FF7CEB99"/>
        <bgColor indexed="64"/>
      </patternFill>
    </fill>
    <fill>
      <patternFill patternType="solid">
        <fgColor theme="9" tint="0.79998168889431442"/>
        <bgColor indexed="64"/>
      </patternFill>
    </fill>
  </fills>
  <borders count="49">
    <border>
      <left/>
      <right/>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7">
    <xf numFmtId="0" fontId="0" fillId="0" borderId="0"/>
    <xf numFmtId="167"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6" fillId="0" borderId="0"/>
    <xf numFmtId="9" fontId="3"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3" fillId="0" borderId="0"/>
    <xf numFmtId="9" fontId="3" fillId="0" borderId="0" applyFont="0" applyFill="0" applyBorder="0" applyAlignment="0" applyProtection="0"/>
    <xf numFmtId="166" fontId="3" fillId="0" borderId="0" applyFont="0" applyFill="0" applyBorder="0" applyAlignment="0" applyProtection="0"/>
    <xf numFmtId="0" fontId="15" fillId="0" borderId="0" applyNumberFormat="0" applyFill="0" applyBorder="0" applyAlignment="0" applyProtection="0"/>
    <xf numFmtId="0" fontId="3" fillId="0" borderId="0"/>
    <xf numFmtId="165" fontId="3" fillId="0" borderId="0" applyFont="0" applyFill="0" applyBorder="0" applyAlignment="0" applyProtection="0"/>
    <xf numFmtId="0" fontId="2" fillId="0" borderId="0"/>
    <xf numFmtId="165" fontId="2" fillId="0" borderId="0" applyFont="0" applyFill="0" applyBorder="0" applyAlignment="0" applyProtection="0"/>
    <xf numFmtId="9" fontId="3" fillId="0" borderId="0" applyFont="0" applyFill="0" applyBorder="0" applyAlignment="0" applyProtection="0"/>
  </cellStyleXfs>
  <cellXfs count="795">
    <xf numFmtId="0" fontId="0" fillId="0" borderId="0" xfId="0"/>
    <xf numFmtId="9" fontId="0" fillId="2" borderId="5" xfId="5" applyFont="1" applyFill="1" applyBorder="1" applyAlignment="1">
      <alignment horizontal="center"/>
    </xf>
    <xf numFmtId="166" fontId="0" fillId="2" borderId="4" xfId="2" applyFont="1" applyFill="1" applyBorder="1" applyAlignment="1">
      <alignment horizontal="center"/>
    </xf>
    <xf numFmtId="166" fontId="0" fillId="2" borderId="14" xfId="2" applyFont="1" applyFill="1" applyBorder="1" applyAlignment="1">
      <alignment horizontal="center"/>
    </xf>
    <xf numFmtId="166" fontId="0" fillId="2" borderId="3" xfId="2" applyFont="1" applyFill="1" applyBorder="1" applyAlignment="1">
      <alignment horizontal="center"/>
    </xf>
    <xf numFmtId="166" fontId="0" fillId="2" borderId="2" xfId="2" applyFont="1" applyFill="1" applyBorder="1" applyAlignment="1">
      <alignment horizontal="center"/>
    </xf>
    <xf numFmtId="9" fontId="0" fillId="2" borderId="0" xfId="5" applyFont="1" applyFill="1" applyAlignment="1">
      <alignment horizontal="center"/>
    </xf>
    <xf numFmtId="167" fontId="0" fillId="2" borderId="0" xfId="1" applyFont="1" applyFill="1"/>
    <xf numFmtId="166" fontId="0" fillId="7" borderId="4" xfId="2" applyFont="1" applyFill="1" applyBorder="1" applyAlignment="1">
      <alignment horizontal="center"/>
    </xf>
    <xf numFmtId="166" fontId="0" fillId="2" borderId="1" xfId="2" applyFont="1" applyFill="1" applyBorder="1" applyAlignment="1">
      <alignment horizontal="center"/>
    </xf>
    <xf numFmtId="166" fontId="0" fillId="2" borderId="12" xfId="2" applyFont="1" applyFill="1" applyBorder="1" applyAlignment="1">
      <alignment horizontal="center"/>
    </xf>
    <xf numFmtId="166" fontId="0" fillId="2" borderId="13" xfId="2" applyFont="1" applyFill="1" applyBorder="1" applyAlignment="1">
      <alignment horizontal="center"/>
    </xf>
    <xf numFmtId="166" fontId="0" fillId="2" borderId="6" xfId="2" applyFont="1" applyFill="1" applyBorder="1" applyAlignment="1">
      <alignment horizontal="center"/>
    </xf>
    <xf numFmtId="166" fontId="0" fillId="2" borderId="14" xfId="2" applyFont="1" applyFill="1" applyBorder="1"/>
    <xf numFmtId="166" fontId="0" fillId="2" borderId="2" xfId="2" applyFont="1" applyFill="1" applyBorder="1"/>
    <xf numFmtId="166" fontId="10" fillId="2" borderId="1" xfId="2" applyFont="1" applyFill="1" applyBorder="1" applyAlignment="1">
      <alignment horizontal="center"/>
    </xf>
    <xf numFmtId="166" fontId="10" fillId="2" borderId="1" xfId="2" applyFont="1" applyFill="1" applyBorder="1"/>
    <xf numFmtId="166" fontId="0" fillId="2" borderId="1" xfId="2" applyFont="1" applyFill="1" applyBorder="1"/>
    <xf numFmtId="10" fontId="0" fillId="2" borderId="5" xfId="5" applyNumberFormat="1" applyFont="1" applyFill="1" applyBorder="1" applyAlignment="1">
      <alignment horizontal="center"/>
    </xf>
    <xf numFmtId="166" fontId="0" fillId="2" borderId="5" xfId="2" applyFont="1" applyFill="1" applyBorder="1" applyAlignment="1">
      <alignment horizontal="center"/>
    </xf>
    <xf numFmtId="10" fontId="3" fillId="2" borderId="5" xfId="5" applyNumberFormat="1" applyFont="1" applyFill="1" applyBorder="1" applyAlignment="1">
      <alignment horizontal="center"/>
    </xf>
    <xf numFmtId="9" fontId="0" fillId="7" borderId="5" xfId="5" applyFont="1" applyFill="1" applyBorder="1"/>
    <xf numFmtId="10" fontId="0" fillId="7" borderId="14" xfId="5" applyNumberFormat="1" applyFont="1" applyFill="1" applyBorder="1" applyAlignment="1">
      <alignment horizontal="center"/>
    </xf>
    <xf numFmtId="10" fontId="0" fillId="7" borderId="1" xfId="5" applyNumberFormat="1" applyFont="1" applyFill="1" applyBorder="1" applyAlignment="1">
      <alignment horizontal="center"/>
    </xf>
    <xf numFmtId="9" fontId="3" fillId="2" borderId="5" xfId="5" applyFont="1" applyFill="1" applyBorder="1" applyAlignment="1">
      <alignment horizontal="center"/>
    </xf>
    <xf numFmtId="170" fontId="0" fillId="2" borderId="4" xfId="5" applyNumberFormat="1" applyFont="1" applyFill="1" applyBorder="1" applyAlignment="1">
      <alignment horizontal="center"/>
    </xf>
    <xf numFmtId="170" fontId="0" fillId="2" borderId="3" xfId="5" applyNumberFormat="1" applyFont="1" applyFill="1" applyBorder="1" applyAlignment="1">
      <alignment horizontal="center"/>
    </xf>
    <xf numFmtId="170" fontId="3" fillId="2" borderId="4" xfId="5" applyNumberFormat="1" applyFont="1" applyFill="1" applyBorder="1" applyAlignment="1">
      <alignment horizontal="center"/>
    </xf>
    <xf numFmtId="170" fontId="3" fillId="2" borderId="6" xfId="5" applyNumberFormat="1" applyFont="1" applyFill="1" applyBorder="1" applyAlignment="1">
      <alignment horizontal="center"/>
    </xf>
    <xf numFmtId="9" fontId="3" fillId="2" borderId="6" xfId="5" applyFont="1" applyFill="1" applyBorder="1" applyAlignment="1">
      <alignment horizontal="center"/>
    </xf>
    <xf numFmtId="166" fontId="0" fillId="2" borderId="25" xfId="2" applyFont="1" applyFill="1" applyBorder="1"/>
    <xf numFmtId="166" fontId="0" fillId="2" borderId="26" xfId="2" applyFont="1" applyFill="1" applyBorder="1"/>
    <xf numFmtId="166" fontId="0" fillId="2" borderId="27" xfId="2" applyFont="1" applyFill="1" applyBorder="1"/>
    <xf numFmtId="166" fontId="0" fillId="2" borderId="25" xfId="2" applyFont="1" applyFill="1" applyBorder="1" applyAlignment="1">
      <alignment horizontal="center"/>
    </xf>
    <xf numFmtId="166" fontId="0" fillId="2" borderId="26" xfId="2" applyFont="1" applyFill="1" applyBorder="1" applyAlignment="1">
      <alignment horizontal="center"/>
    </xf>
    <xf numFmtId="10" fontId="0" fillId="2" borderId="26" xfId="5" applyNumberFormat="1" applyFont="1" applyFill="1" applyBorder="1" applyAlignment="1">
      <alignment horizontal="center"/>
    </xf>
    <xf numFmtId="10" fontId="3" fillId="2" borderId="26" xfId="5" applyNumberFormat="1" applyFont="1" applyFill="1" applyBorder="1" applyAlignment="1">
      <alignment horizontal="center"/>
    </xf>
    <xf numFmtId="166" fontId="0" fillId="2" borderId="0" xfId="2" applyFont="1" applyFill="1"/>
    <xf numFmtId="166" fontId="0" fillId="6" borderId="4" xfId="2" applyFont="1" applyFill="1" applyBorder="1" applyAlignment="1">
      <alignment horizontal="center"/>
    </xf>
    <xf numFmtId="166" fontId="0" fillId="6" borderId="12" xfId="2" applyFont="1" applyFill="1" applyBorder="1" applyAlignment="1">
      <alignment horizontal="center"/>
    </xf>
    <xf numFmtId="166" fontId="0" fillId="7" borderId="2" xfId="2" applyFont="1" applyFill="1" applyBorder="1"/>
    <xf numFmtId="0" fontId="3" fillId="6" borderId="6" xfId="8" applyFill="1" applyBorder="1" applyAlignment="1">
      <alignment horizontal="center" vertical="center"/>
    </xf>
    <xf numFmtId="0" fontId="3" fillId="6" borderId="0" xfId="8" applyFill="1"/>
    <xf numFmtId="0" fontId="3" fillId="6" borderId="5" xfId="8" applyFill="1" applyBorder="1"/>
    <xf numFmtId="0" fontId="3" fillId="6" borderId="3" xfId="8" applyFill="1" applyBorder="1" applyAlignment="1">
      <alignment horizontal="center" vertical="center"/>
    </xf>
    <xf numFmtId="0" fontId="3" fillId="6" borderId="14" xfId="8" applyFill="1" applyBorder="1" applyAlignment="1">
      <alignment horizontal="center"/>
    </xf>
    <xf numFmtId="0" fontId="3" fillId="6" borderId="5" xfId="8" applyFill="1" applyBorder="1" applyAlignment="1">
      <alignment horizontal="center"/>
    </xf>
    <xf numFmtId="0" fontId="3" fillId="6" borderId="6" xfId="8" applyFill="1" applyBorder="1"/>
    <xf numFmtId="0" fontId="3" fillId="6" borderId="15" xfId="8" applyFill="1" applyBorder="1" applyAlignment="1">
      <alignment horizontal="center"/>
    </xf>
    <xf numFmtId="0" fontId="3" fillId="6" borderId="4" xfId="8" applyFill="1" applyBorder="1" applyAlignment="1">
      <alignment horizontal="center" vertical="center"/>
    </xf>
    <xf numFmtId="0" fontId="3" fillId="6" borderId="0" xfId="8" applyFill="1" applyAlignment="1">
      <alignment horizontal="center"/>
    </xf>
    <xf numFmtId="0" fontId="3" fillId="6" borderId="11" xfId="8" applyFill="1" applyBorder="1" applyAlignment="1">
      <alignment horizontal="center"/>
    </xf>
    <xf numFmtId="0" fontId="3" fillId="6" borderId="6" xfId="8" applyFill="1" applyBorder="1" applyAlignment="1">
      <alignment horizontal="center"/>
    </xf>
    <xf numFmtId="0" fontId="10" fillId="6" borderId="6" xfId="8" applyFont="1" applyFill="1" applyBorder="1" applyAlignment="1">
      <alignment horizontal="center"/>
    </xf>
    <xf numFmtId="0" fontId="3" fillId="6" borderId="12" xfId="8" applyFill="1" applyBorder="1" applyAlignment="1">
      <alignment horizontal="center"/>
    </xf>
    <xf numFmtId="0" fontId="3" fillId="6" borderId="4" xfId="8" applyFill="1" applyBorder="1" applyAlignment="1">
      <alignment horizontal="center"/>
    </xf>
    <xf numFmtId="0" fontId="3" fillId="6" borderId="2" xfId="8" applyFill="1" applyBorder="1" applyAlignment="1">
      <alignment horizontal="center"/>
    </xf>
    <xf numFmtId="0" fontId="10" fillId="6" borderId="4" xfId="8" applyFont="1" applyFill="1" applyBorder="1" applyAlignment="1">
      <alignment horizontal="center"/>
    </xf>
    <xf numFmtId="0" fontId="3" fillId="6" borderId="1" xfId="8" applyFill="1" applyBorder="1" applyAlignment="1">
      <alignment horizontal="center"/>
    </xf>
    <xf numFmtId="0" fontId="3" fillId="6" borderId="9" xfId="8" applyFill="1" applyBorder="1" applyAlignment="1">
      <alignment horizontal="center"/>
    </xf>
    <xf numFmtId="0" fontId="3" fillId="6" borderId="4" xfId="8" applyFill="1" applyBorder="1"/>
    <xf numFmtId="0" fontId="3" fillId="7" borderId="5" xfId="8" applyFill="1" applyBorder="1" applyAlignment="1">
      <alignment horizontal="center"/>
    </xf>
    <xf numFmtId="166" fontId="0" fillId="7" borderId="5" xfId="2" applyFont="1" applyFill="1" applyBorder="1"/>
    <xf numFmtId="0" fontId="15" fillId="6" borderId="0" xfId="11" applyFill="1"/>
    <xf numFmtId="0" fontId="3" fillId="6" borderId="13" xfId="8" applyFill="1" applyBorder="1" applyAlignment="1">
      <alignment horizontal="center"/>
    </xf>
    <xf numFmtId="0" fontId="3" fillId="6" borderId="3" xfId="8" applyFill="1" applyBorder="1" applyAlignment="1">
      <alignment horizontal="center"/>
    </xf>
    <xf numFmtId="0" fontId="10" fillId="6" borderId="3" xfId="8" applyFont="1" applyFill="1" applyBorder="1" applyAlignment="1">
      <alignment horizontal="center"/>
    </xf>
    <xf numFmtId="0" fontId="3" fillId="6" borderId="10" xfId="8" applyFill="1" applyBorder="1" applyAlignment="1">
      <alignment horizontal="center"/>
    </xf>
    <xf numFmtId="0" fontId="3" fillId="2" borderId="0" xfId="8" applyFill="1"/>
    <xf numFmtId="0" fontId="3" fillId="2" borderId="5" xfId="8" applyFill="1" applyBorder="1" applyAlignment="1">
      <alignment horizontal="center"/>
    </xf>
    <xf numFmtId="0" fontId="3" fillId="2" borderId="6" xfId="8" applyFill="1" applyBorder="1" applyAlignment="1">
      <alignment horizontal="center"/>
    </xf>
    <xf numFmtId="0" fontId="3" fillId="2" borderId="6" xfId="8" applyFill="1" applyBorder="1"/>
    <xf numFmtId="173" fontId="3" fillId="2" borderId="6" xfId="8" applyNumberFormat="1" applyFill="1" applyBorder="1"/>
    <xf numFmtId="0" fontId="3" fillId="2" borderId="14" xfId="8" applyFill="1" applyBorder="1"/>
    <xf numFmtId="173" fontId="3" fillId="2" borderId="3" xfId="8" applyNumberFormat="1" applyFill="1" applyBorder="1"/>
    <xf numFmtId="0" fontId="3" fillId="2" borderId="1" xfId="8" applyFill="1" applyBorder="1"/>
    <xf numFmtId="10" fontId="3" fillId="2" borderId="5" xfId="5" applyNumberFormat="1" applyFill="1" applyBorder="1"/>
    <xf numFmtId="0" fontId="3" fillId="2" borderId="5" xfId="8" applyFill="1" applyBorder="1"/>
    <xf numFmtId="10" fontId="0" fillId="2" borderId="5" xfId="9" applyNumberFormat="1" applyFont="1" applyFill="1" applyBorder="1"/>
    <xf numFmtId="168" fontId="3" fillId="2" borderId="6" xfId="8" applyNumberFormat="1" applyFill="1" applyBorder="1" applyAlignment="1">
      <alignment horizontal="center"/>
    </xf>
    <xf numFmtId="0" fontId="3" fillId="2" borderId="4" xfId="8" applyFill="1" applyBorder="1" applyAlignment="1">
      <alignment horizontal="center"/>
    </xf>
    <xf numFmtId="168" fontId="3" fillId="2" borderId="4" xfId="8" applyNumberFormat="1" applyFill="1" applyBorder="1" applyAlignment="1">
      <alignment horizontal="center"/>
    </xf>
    <xf numFmtId="166" fontId="0" fillId="2" borderId="4" xfId="10" applyFont="1" applyFill="1" applyBorder="1" applyAlignment="1">
      <alignment horizontal="center"/>
    </xf>
    <xf numFmtId="0" fontId="3" fillId="2" borderId="3" xfId="8" applyFill="1" applyBorder="1" applyAlignment="1">
      <alignment horizontal="center"/>
    </xf>
    <xf numFmtId="174" fontId="3" fillId="2" borderId="0" xfId="8" applyNumberFormat="1" applyFill="1"/>
    <xf numFmtId="166" fontId="3" fillId="6" borderId="0" xfId="8" applyNumberFormat="1" applyFill="1"/>
    <xf numFmtId="0" fontId="3" fillId="7" borderId="0" xfId="8" applyFill="1"/>
    <xf numFmtId="165" fontId="3" fillId="2" borderId="0" xfId="8" applyNumberFormat="1" applyFill="1"/>
    <xf numFmtId="0" fontId="3" fillId="2" borderId="10" xfId="8" applyFill="1" applyBorder="1"/>
    <xf numFmtId="9" fontId="0" fillId="6" borderId="0" xfId="5" applyFont="1" applyFill="1"/>
    <xf numFmtId="166" fontId="0" fillId="6" borderId="0" xfId="2" applyFont="1" applyFill="1"/>
    <xf numFmtId="166" fontId="0" fillId="6" borderId="14" xfId="2" applyFont="1" applyFill="1" applyBorder="1"/>
    <xf numFmtId="170" fontId="0" fillId="7" borderId="5" xfId="5" applyNumberFormat="1" applyFont="1" applyFill="1" applyBorder="1"/>
    <xf numFmtId="166" fontId="0" fillId="6" borderId="2" xfId="2" applyFont="1" applyFill="1" applyBorder="1"/>
    <xf numFmtId="166" fontId="0" fillId="6" borderId="4" xfId="2" applyFont="1" applyFill="1" applyBorder="1"/>
    <xf numFmtId="166" fontId="0" fillId="6" borderId="3" xfId="2" applyFont="1" applyFill="1" applyBorder="1"/>
    <xf numFmtId="165" fontId="3" fillId="6" borderId="0" xfId="8" applyNumberFormat="1" applyFill="1"/>
    <xf numFmtId="165" fontId="3" fillId="6" borderId="5" xfId="8" applyNumberFormat="1" applyFill="1" applyBorder="1"/>
    <xf numFmtId="0" fontId="3" fillId="2" borderId="25" xfId="8" applyFill="1" applyBorder="1"/>
    <xf numFmtId="0" fontId="3" fillId="2" borderId="26" xfId="8" applyFill="1" applyBorder="1"/>
    <xf numFmtId="0" fontId="3" fillId="2" borderId="27" xfId="8" applyFill="1" applyBorder="1"/>
    <xf numFmtId="0" fontId="3" fillId="2" borderId="27" xfId="8" applyFill="1" applyBorder="1" applyAlignment="1">
      <alignment horizontal="center"/>
    </xf>
    <xf numFmtId="165" fontId="3" fillId="7" borderId="26" xfId="8" applyNumberFormat="1" applyFill="1" applyBorder="1"/>
    <xf numFmtId="0" fontId="3" fillId="2" borderId="11" xfId="8" applyFill="1" applyBorder="1" applyAlignment="1">
      <alignment horizontal="center"/>
    </xf>
    <xf numFmtId="0" fontId="3" fillId="2" borderId="16" xfId="8" applyFill="1" applyBorder="1"/>
    <xf numFmtId="166" fontId="3" fillId="2" borderId="25" xfId="8" applyNumberFormat="1" applyFill="1" applyBorder="1"/>
    <xf numFmtId="165" fontId="3" fillId="2" borderId="26" xfId="8" applyNumberFormat="1" applyFill="1" applyBorder="1"/>
    <xf numFmtId="165" fontId="3" fillId="2" borderId="27" xfId="8" applyNumberFormat="1" applyFill="1" applyBorder="1"/>
    <xf numFmtId="175" fontId="3" fillId="2" borderId="0" xfId="8" applyNumberFormat="1" applyFill="1"/>
    <xf numFmtId="170" fontId="0" fillId="9" borderId="14" xfId="5" applyNumberFormat="1" applyFont="1" applyFill="1" applyBorder="1" applyAlignment="1">
      <alignment horizontal="center"/>
    </xf>
    <xf numFmtId="170" fontId="0" fillId="9" borderId="2" xfId="5" applyNumberFormat="1" applyFont="1" applyFill="1" applyBorder="1" applyAlignment="1">
      <alignment horizontal="center"/>
    </xf>
    <xf numFmtId="170" fontId="0" fillId="9" borderId="1" xfId="5" applyNumberFormat="1" applyFont="1" applyFill="1" applyBorder="1" applyAlignment="1">
      <alignment horizontal="center"/>
    </xf>
    <xf numFmtId="170" fontId="0" fillId="8" borderId="14" xfId="5" applyNumberFormat="1" applyFont="1" applyFill="1" applyBorder="1" applyAlignment="1">
      <alignment horizontal="center"/>
    </xf>
    <xf numFmtId="170" fontId="0" fillId="8" borderId="6" xfId="5" applyNumberFormat="1" applyFont="1" applyFill="1" applyBorder="1" applyAlignment="1">
      <alignment horizontal="center"/>
    </xf>
    <xf numFmtId="170" fontId="0" fillId="8" borderId="2" xfId="5" applyNumberFormat="1" applyFont="1" applyFill="1" applyBorder="1" applyAlignment="1">
      <alignment horizontal="center"/>
    </xf>
    <xf numFmtId="170" fontId="0" fillId="8" borderId="4" xfId="5" applyNumberFormat="1" applyFont="1" applyFill="1" applyBorder="1" applyAlignment="1">
      <alignment horizontal="center"/>
    </xf>
    <xf numFmtId="170" fontId="0" fillId="8" borderId="1" xfId="5" applyNumberFormat="1" applyFont="1" applyFill="1" applyBorder="1" applyAlignment="1">
      <alignment horizontal="center"/>
    </xf>
    <xf numFmtId="170" fontId="0" fillId="10" borderId="6" xfId="5" applyNumberFormat="1" applyFont="1" applyFill="1" applyBorder="1" applyAlignment="1">
      <alignment horizontal="center"/>
    </xf>
    <xf numFmtId="170" fontId="0" fillId="10" borderId="4" xfId="5" applyNumberFormat="1" applyFont="1" applyFill="1" applyBorder="1" applyAlignment="1">
      <alignment horizontal="center"/>
    </xf>
    <xf numFmtId="0" fontId="3" fillId="8" borderId="5" xfId="8" applyFill="1" applyBorder="1" applyAlignment="1">
      <alignment horizontal="center"/>
    </xf>
    <xf numFmtId="10" fontId="0" fillId="2" borderId="6" xfId="5" applyNumberFormat="1" applyFont="1" applyFill="1" applyBorder="1" applyAlignment="1">
      <alignment horizontal="center"/>
    </xf>
    <xf numFmtId="0" fontId="3" fillId="8" borderId="6" xfId="8" applyFill="1" applyBorder="1" applyAlignment="1">
      <alignment horizontal="center"/>
    </xf>
    <xf numFmtId="10" fontId="0" fillId="2" borderId="3" xfId="5" applyNumberFormat="1" applyFont="1" applyFill="1" applyBorder="1" applyAlignment="1">
      <alignment horizontal="center"/>
    </xf>
    <xf numFmtId="0" fontId="3" fillId="8" borderId="3" xfId="8" applyFill="1" applyBorder="1" applyAlignment="1">
      <alignment horizontal="center"/>
    </xf>
    <xf numFmtId="172" fontId="3" fillId="2" borderId="5" xfId="8" applyNumberFormat="1" applyFill="1" applyBorder="1" applyAlignment="1">
      <alignment horizontal="center"/>
    </xf>
    <xf numFmtId="172" fontId="3" fillId="2" borderId="6" xfId="8" applyNumberFormat="1" applyFill="1" applyBorder="1" applyAlignment="1">
      <alignment horizontal="center"/>
    </xf>
    <xf numFmtId="172" fontId="3" fillId="2" borderId="4" xfId="8" applyNumberFormat="1" applyFill="1" applyBorder="1" applyAlignment="1">
      <alignment horizontal="center"/>
    </xf>
    <xf numFmtId="174" fontId="3" fillId="2" borderId="4" xfId="8" applyNumberFormat="1" applyFill="1" applyBorder="1" applyAlignment="1">
      <alignment horizontal="center"/>
    </xf>
    <xf numFmtId="172" fontId="3" fillId="2" borderId="3" xfId="8" applyNumberFormat="1" applyFill="1" applyBorder="1" applyAlignment="1">
      <alignment horizontal="center"/>
    </xf>
    <xf numFmtId="174" fontId="3" fillId="2" borderId="3" xfId="8" applyNumberFormat="1" applyFill="1" applyBorder="1" applyAlignment="1">
      <alignment horizontal="center"/>
    </xf>
    <xf numFmtId="172" fontId="3" fillId="2" borderId="0" xfId="8" applyNumberFormat="1" applyFill="1"/>
    <xf numFmtId="174" fontId="3" fillId="2" borderId="5" xfId="8" applyNumberFormat="1" applyFill="1" applyBorder="1" applyAlignment="1">
      <alignment horizontal="center"/>
    </xf>
    <xf numFmtId="165" fontId="3" fillId="2" borderId="5" xfId="8" applyNumberFormat="1" applyFill="1" applyBorder="1"/>
    <xf numFmtId="172" fontId="3" fillId="7" borderId="0" xfId="8" applyNumberFormat="1" applyFill="1"/>
    <xf numFmtId="177" fontId="3" fillId="2" borderId="0" xfId="8" applyNumberFormat="1" applyFill="1"/>
    <xf numFmtId="178" fontId="3" fillId="2" borderId="0" xfId="8" applyNumberFormat="1" applyFill="1"/>
    <xf numFmtId="179" fontId="3" fillId="7" borderId="0" xfId="8" applyNumberFormat="1" applyFill="1"/>
    <xf numFmtId="0" fontId="3" fillId="2" borderId="0" xfId="8" applyFill="1" applyAlignment="1">
      <alignment horizontal="center"/>
    </xf>
    <xf numFmtId="0" fontId="3" fillId="2" borderId="4" xfId="8" applyFill="1" applyBorder="1"/>
    <xf numFmtId="10" fontId="0" fillId="2" borderId="2" xfId="5" applyNumberFormat="1" applyFont="1" applyFill="1" applyBorder="1" applyAlignment="1">
      <alignment horizontal="center"/>
    </xf>
    <xf numFmtId="0" fontId="3" fillId="2" borderId="2" xfId="8" applyFill="1" applyBorder="1" applyAlignment="1">
      <alignment horizontal="center"/>
    </xf>
    <xf numFmtId="0" fontId="3" fillId="2" borderId="3" xfId="8" applyFill="1" applyBorder="1"/>
    <xf numFmtId="9" fontId="0" fillId="2" borderId="0" xfId="5" applyFont="1" applyFill="1"/>
    <xf numFmtId="0" fontId="3" fillId="2" borderId="11" xfId="8" applyFill="1" applyBorder="1"/>
    <xf numFmtId="166" fontId="0" fillId="2" borderId="6" xfId="2" applyFont="1" applyFill="1" applyBorder="1"/>
    <xf numFmtId="0" fontId="3" fillId="2" borderId="15" xfId="8" applyFill="1" applyBorder="1"/>
    <xf numFmtId="0" fontId="3" fillId="2" borderId="12" xfId="8" applyFill="1" applyBorder="1"/>
    <xf numFmtId="166" fontId="0" fillId="2" borderId="4" xfId="2" applyFont="1" applyFill="1" applyBorder="1"/>
    <xf numFmtId="10" fontId="3" fillId="2" borderId="4" xfId="8" applyNumberFormat="1" applyFill="1" applyBorder="1"/>
    <xf numFmtId="0" fontId="3" fillId="2" borderId="13" xfId="8" applyFill="1" applyBorder="1"/>
    <xf numFmtId="166" fontId="3" fillId="2" borderId="3" xfId="8" applyNumberFormat="1" applyFill="1" applyBorder="1"/>
    <xf numFmtId="166" fontId="3" fillId="2" borderId="4" xfId="8" applyNumberFormat="1" applyFill="1" applyBorder="1"/>
    <xf numFmtId="0" fontId="3" fillId="2" borderId="7" xfId="8" applyFill="1" applyBorder="1"/>
    <xf numFmtId="166" fontId="3" fillId="2" borderId="5" xfId="8" applyNumberFormat="1" applyFill="1" applyBorder="1"/>
    <xf numFmtId="0" fontId="3" fillId="3" borderId="0" xfId="8" applyFill="1"/>
    <xf numFmtId="0" fontId="3" fillId="4" borderId="0" xfId="8" applyFill="1"/>
    <xf numFmtId="166" fontId="3" fillId="4" borderId="0" xfId="8" applyNumberFormat="1" applyFill="1"/>
    <xf numFmtId="0" fontId="3" fillId="2" borderId="0" xfId="8" quotePrefix="1" applyFill="1"/>
    <xf numFmtId="10" fontId="0" fillId="2" borderId="0" xfId="5" applyNumberFormat="1" applyFont="1" applyFill="1"/>
    <xf numFmtId="166" fontId="3" fillId="2" borderId="0" xfId="2" applyFill="1"/>
    <xf numFmtId="0" fontId="16" fillId="2" borderId="0" xfId="8" applyFont="1" applyFill="1"/>
    <xf numFmtId="0" fontId="3" fillId="6" borderId="16" xfId="8" applyFill="1" applyBorder="1" applyAlignment="1">
      <alignment horizontal="center"/>
    </xf>
    <xf numFmtId="0" fontId="3" fillId="7" borderId="25" xfId="8" applyFill="1" applyBorder="1" applyAlignment="1">
      <alignment horizontal="center"/>
    </xf>
    <xf numFmtId="0" fontId="3" fillId="7" borderId="26" xfId="8" applyFill="1" applyBorder="1" applyAlignment="1">
      <alignment horizontal="center"/>
    </xf>
    <xf numFmtId="0" fontId="3" fillId="6" borderId="26" xfId="8" applyFill="1" applyBorder="1" applyAlignment="1">
      <alignment horizontal="center"/>
    </xf>
    <xf numFmtId="0" fontId="3" fillId="6" borderId="27" xfId="8" applyFill="1" applyBorder="1" applyAlignment="1">
      <alignment horizontal="center"/>
    </xf>
    <xf numFmtId="0" fontId="3" fillId="6" borderId="25" xfId="8" applyFill="1" applyBorder="1" applyAlignment="1">
      <alignment horizontal="center"/>
    </xf>
    <xf numFmtId="0" fontId="3" fillId="6" borderId="17" xfId="8" applyFill="1" applyBorder="1" applyAlignment="1">
      <alignment horizontal="center"/>
    </xf>
    <xf numFmtId="0" fontId="3" fillId="6" borderId="19" xfId="8" applyFill="1" applyBorder="1" applyAlignment="1">
      <alignment horizontal="center"/>
    </xf>
    <xf numFmtId="0" fontId="3" fillId="6" borderId="22" xfId="8" applyFill="1" applyBorder="1" applyAlignment="1">
      <alignment horizontal="center"/>
    </xf>
    <xf numFmtId="0" fontId="3" fillId="6" borderId="24" xfId="8" applyFill="1" applyBorder="1" applyAlignment="1">
      <alignment horizontal="center"/>
    </xf>
    <xf numFmtId="0" fontId="3" fillId="6" borderId="21" xfId="8" applyFill="1" applyBorder="1" applyAlignment="1">
      <alignment horizontal="center"/>
    </xf>
    <xf numFmtId="0" fontId="3" fillId="6" borderId="26" xfId="8" applyFill="1" applyBorder="1"/>
    <xf numFmtId="0" fontId="3" fillId="6" borderId="27" xfId="8" applyFill="1" applyBorder="1"/>
    <xf numFmtId="0" fontId="10" fillId="6" borderId="14" xfId="8" applyFont="1" applyFill="1" applyBorder="1" applyAlignment="1">
      <alignment horizontal="center"/>
    </xf>
    <xf numFmtId="0" fontId="10" fillId="6" borderId="2" xfId="8" applyFont="1" applyFill="1" applyBorder="1" applyAlignment="1">
      <alignment horizontal="center"/>
    </xf>
    <xf numFmtId="0" fontId="10" fillId="6" borderId="1" xfId="8" applyFont="1" applyFill="1" applyBorder="1" applyAlignment="1">
      <alignment horizontal="center"/>
    </xf>
    <xf numFmtId="165" fontId="0" fillId="2" borderId="14" xfId="13" applyFont="1" applyFill="1" applyBorder="1" applyAlignment="1">
      <alignment horizontal="center"/>
    </xf>
    <xf numFmtId="0" fontId="3" fillId="2" borderId="9" xfId="8" applyFill="1" applyBorder="1" applyAlignment="1">
      <alignment horizontal="center"/>
    </xf>
    <xf numFmtId="0" fontId="3" fillId="2" borderId="1" xfId="8" applyFill="1" applyBorder="1" applyAlignment="1">
      <alignment horizontal="center"/>
    </xf>
    <xf numFmtId="181" fontId="3" fillId="2" borderId="0" xfId="8" applyNumberFormat="1" applyFill="1"/>
    <xf numFmtId="182" fontId="3" fillId="2" borderId="6" xfId="8" applyNumberFormat="1" applyFill="1" applyBorder="1" applyAlignment="1">
      <alignment horizontal="center"/>
    </xf>
    <xf numFmtId="174" fontId="3" fillId="2" borderId="6" xfId="8" applyNumberFormat="1" applyFill="1" applyBorder="1" applyAlignment="1">
      <alignment horizontal="center"/>
    </xf>
    <xf numFmtId="182" fontId="3" fillId="2" borderId="4" xfId="8" applyNumberFormat="1" applyFill="1" applyBorder="1" applyAlignment="1">
      <alignment horizontal="center"/>
    </xf>
    <xf numFmtId="182" fontId="3" fillId="2" borderId="3" xfId="8" applyNumberFormat="1" applyFill="1" applyBorder="1" applyAlignment="1">
      <alignment horizontal="center"/>
    </xf>
    <xf numFmtId="171" fontId="5" fillId="2" borderId="0" xfId="5" applyNumberFormat="1" applyFont="1" applyFill="1"/>
    <xf numFmtId="0" fontId="3" fillId="2" borderId="14" xfId="8" applyFill="1" applyBorder="1" applyAlignment="1">
      <alignment horizontal="center"/>
    </xf>
    <xf numFmtId="2" fontId="3" fillId="2" borderId="4" xfId="8" applyNumberFormat="1" applyFill="1" applyBorder="1" applyAlignment="1">
      <alignment horizontal="center"/>
    </xf>
    <xf numFmtId="165" fontId="3" fillId="11" borderId="0" xfId="8" applyNumberFormat="1" applyFill="1"/>
    <xf numFmtId="2" fontId="3" fillId="2" borderId="6" xfId="8" applyNumberFormat="1" applyFill="1" applyBorder="1" applyAlignment="1">
      <alignment horizontal="center"/>
    </xf>
    <xf numFmtId="0" fontId="3" fillId="6" borderId="7" xfId="8" applyFill="1" applyBorder="1" applyAlignment="1">
      <alignment horizontal="center"/>
    </xf>
    <xf numFmtId="166" fontId="0" fillId="2" borderId="3" xfId="2" applyFont="1" applyFill="1" applyBorder="1"/>
    <xf numFmtId="166" fontId="10" fillId="2" borderId="4" xfId="2" applyFont="1" applyFill="1" applyBorder="1"/>
    <xf numFmtId="166" fontId="3" fillId="2" borderId="4" xfId="2" applyFont="1" applyFill="1" applyBorder="1"/>
    <xf numFmtId="16" fontId="3" fillId="2" borderId="6" xfId="8" applyNumberFormat="1" applyFill="1" applyBorder="1" applyAlignment="1">
      <alignment horizontal="center"/>
    </xf>
    <xf numFmtId="16" fontId="3" fillId="2" borderId="0" xfId="8" applyNumberFormat="1" applyFill="1" applyAlignment="1">
      <alignment horizontal="center"/>
    </xf>
    <xf numFmtId="0" fontId="3" fillId="7" borderId="3" xfId="8" applyFill="1" applyBorder="1"/>
    <xf numFmtId="166" fontId="3" fillId="7" borderId="3" xfId="8" applyNumberFormat="1" applyFill="1" applyBorder="1"/>
    <xf numFmtId="166" fontId="3" fillId="7" borderId="1" xfId="8" applyNumberFormat="1" applyFill="1" applyBorder="1"/>
    <xf numFmtId="0" fontId="3" fillId="9" borderId="3" xfId="8" applyFill="1" applyBorder="1"/>
    <xf numFmtId="166" fontId="3" fillId="9" borderId="3" xfId="8" applyNumberFormat="1" applyFill="1" applyBorder="1"/>
    <xf numFmtId="166" fontId="3" fillId="9" borderId="1" xfId="8" applyNumberFormat="1" applyFill="1" applyBorder="1"/>
    <xf numFmtId="0" fontId="3" fillId="13" borderId="4" xfId="8" applyFill="1" applyBorder="1"/>
    <xf numFmtId="166" fontId="3" fillId="13" borderId="4" xfId="8" applyNumberFormat="1" applyFill="1" applyBorder="1"/>
    <xf numFmtId="166" fontId="3" fillId="13" borderId="2" xfId="8" applyNumberFormat="1" applyFill="1" applyBorder="1"/>
    <xf numFmtId="0" fontId="3" fillId="13" borderId="3" xfId="8" applyFill="1" applyBorder="1"/>
    <xf numFmtId="166" fontId="3" fillId="13" borderId="3" xfId="8" applyNumberFormat="1" applyFill="1" applyBorder="1"/>
    <xf numFmtId="166" fontId="3" fillId="13" borderId="1" xfId="8" applyNumberFormat="1" applyFill="1" applyBorder="1"/>
    <xf numFmtId="0" fontId="3" fillId="9" borderId="0" xfId="8" applyFill="1"/>
    <xf numFmtId="0" fontId="3" fillId="13" borderId="0" xfId="8" applyFill="1"/>
    <xf numFmtId="0" fontId="3" fillId="7" borderId="5" xfId="8" applyFill="1" applyBorder="1"/>
    <xf numFmtId="0" fontId="3" fillId="14" borderId="32" xfId="8" applyFill="1" applyBorder="1" applyAlignment="1">
      <alignment horizontal="center"/>
    </xf>
    <xf numFmtId="183" fontId="3" fillId="14" borderId="33" xfId="8" applyNumberFormat="1" applyFill="1" applyBorder="1"/>
    <xf numFmtId="183" fontId="3" fillId="2" borderId="3" xfId="8" applyNumberFormat="1" applyFill="1" applyBorder="1" applyAlignment="1">
      <alignment horizontal="center"/>
    </xf>
    <xf numFmtId="184" fontId="3" fillId="2" borderId="6" xfId="8" applyNumberFormat="1" applyFill="1" applyBorder="1" applyAlignment="1">
      <alignment horizontal="center"/>
    </xf>
    <xf numFmtId="183" fontId="3" fillId="2" borderId="5" xfId="8" applyNumberFormat="1" applyFill="1" applyBorder="1"/>
    <xf numFmtId="184" fontId="3" fillId="2" borderId="4" xfId="8" applyNumberFormat="1" applyFill="1" applyBorder="1" applyAlignment="1">
      <alignment horizontal="center"/>
    </xf>
    <xf numFmtId="183" fontId="10" fillId="7" borderId="5" xfId="8" applyNumberFormat="1" applyFont="1" applyFill="1" applyBorder="1"/>
    <xf numFmtId="183" fontId="3" fillId="2" borderId="6" xfId="8" applyNumberFormat="1" applyFill="1" applyBorder="1"/>
    <xf numFmtId="183" fontId="10" fillId="7" borderId="6" xfId="8" applyNumberFormat="1" applyFont="1" applyFill="1" applyBorder="1"/>
    <xf numFmtId="0" fontId="3" fillId="14" borderId="34" xfId="8" applyFill="1" applyBorder="1" applyAlignment="1">
      <alignment horizontal="center"/>
    </xf>
    <xf numFmtId="184" fontId="3" fillId="14" borderId="35" xfId="8" applyNumberFormat="1" applyFill="1" applyBorder="1" applyAlignment="1">
      <alignment horizontal="center"/>
    </xf>
    <xf numFmtId="183" fontId="3" fillId="14" borderId="35" xfId="8" applyNumberFormat="1" applyFill="1" applyBorder="1"/>
    <xf numFmtId="183" fontId="10" fillId="14" borderId="35" xfId="8" applyNumberFormat="1" applyFont="1" applyFill="1" applyBorder="1"/>
    <xf numFmtId="183" fontId="3" fillId="14" borderId="36" xfId="8" applyNumberFormat="1" applyFill="1" applyBorder="1"/>
    <xf numFmtId="0" fontId="3" fillId="2" borderId="34" xfId="8" applyFill="1" applyBorder="1" applyAlignment="1">
      <alignment horizontal="center"/>
    </xf>
    <xf numFmtId="0" fontId="3" fillId="2" borderId="35" xfId="8" applyFill="1" applyBorder="1" applyAlignment="1">
      <alignment horizontal="center"/>
    </xf>
    <xf numFmtId="183" fontId="3" fillId="2" borderId="36" xfId="8" applyNumberFormat="1" applyFill="1" applyBorder="1"/>
    <xf numFmtId="15" fontId="3" fillId="6" borderId="0" xfId="8" applyNumberFormat="1" applyFill="1" applyAlignment="1">
      <alignment horizontal="center"/>
    </xf>
    <xf numFmtId="15" fontId="3" fillId="6" borderId="5" xfId="8" applyNumberFormat="1" applyFill="1" applyBorder="1"/>
    <xf numFmtId="166" fontId="0" fillId="6" borderId="6" xfId="2" applyFont="1" applyFill="1" applyBorder="1" applyAlignment="1">
      <alignment horizontal="center"/>
    </xf>
    <xf numFmtId="166" fontId="0" fillId="6" borderId="14" xfId="2" applyFont="1" applyFill="1" applyBorder="1" applyAlignment="1">
      <alignment horizontal="center"/>
    </xf>
    <xf numFmtId="166" fontId="0" fillId="6" borderId="2" xfId="2" applyFont="1" applyFill="1" applyBorder="1" applyAlignment="1">
      <alignment horizontal="center"/>
    </xf>
    <xf numFmtId="166" fontId="0" fillId="6" borderId="3" xfId="2" applyFont="1" applyFill="1" applyBorder="1" applyAlignment="1">
      <alignment horizontal="center"/>
    </xf>
    <xf numFmtId="166" fontId="0" fillId="6" borderId="1" xfId="2" applyFont="1" applyFill="1" applyBorder="1" applyAlignment="1">
      <alignment horizontal="center"/>
    </xf>
    <xf numFmtId="0" fontId="3" fillId="6" borderId="11" xfId="8" applyFill="1" applyBorder="1"/>
    <xf numFmtId="0" fontId="3" fillId="6" borderId="15" xfId="8" applyFill="1" applyBorder="1"/>
    <xf numFmtId="0" fontId="3" fillId="6" borderId="14" xfId="8" applyFill="1" applyBorder="1"/>
    <xf numFmtId="0" fontId="3" fillId="6" borderId="13" xfId="8" applyFill="1" applyBorder="1"/>
    <xf numFmtId="0" fontId="3" fillId="6" borderId="10" xfId="8" applyFill="1" applyBorder="1"/>
    <xf numFmtId="0" fontId="3" fillId="6" borderId="1" xfId="8" applyFill="1" applyBorder="1"/>
    <xf numFmtId="0" fontId="3" fillId="6" borderId="7" xfId="8" applyFill="1" applyBorder="1"/>
    <xf numFmtId="0" fontId="3" fillId="6" borderId="8" xfId="8" applyFill="1" applyBorder="1"/>
    <xf numFmtId="0" fontId="3" fillId="6" borderId="9" xfId="8" applyFill="1" applyBorder="1"/>
    <xf numFmtId="0" fontId="3" fillId="7" borderId="14" xfId="8" applyFill="1" applyBorder="1" applyAlignment="1">
      <alignment horizontal="center"/>
    </xf>
    <xf numFmtId="166" fontId="3" fillId="6" borderId="14" xfId="8" applyNumberFormat="1" applyFill="1" applyBorder="1"/>
    <xf numFmtId="166" fontId="3" fillId="6" borderId="15" xfId="8" applyNumberFormat="1" applyFill="1" applyBorder="1"/>
    <xf numFmtId="166" fontId="3" fillId="7" borderId="6" xfId="8" applyNumberFormat="1" applyFill="1" applyBorder="1"/>
    <xf numFmtId="166" fontId="3" fillId="7" borderId="14" xfId="8" applyNumberFormat="1" applyFill="1" applyBorder="1"/>
    <xf numFmtId="166" fontId="3" fillId="6" borderId="2" xfId="8" applyNumberFormat="1" applyFill="1" applyBorder="1"/>
    <xf numFmtId="166" fontId="3" fillId="7" borderId="4" xfId="8" applyNumberFormat="1" applyFill="1" applyBorder="1"/>
    <xf numFmtId="166" fontId="3" fillId="7" borderId="2" xfId="8" applyNumberFormat="1" applyFill="1" applyBorder="1"/>
    <xf numFmtId="166" fontId="3" fillId="6" borderId="1" xfId="8" applyNumberFormat="1" applyFill="1" applyBorder="1"/>
    <xf numFmtId="166" fontId="3" fillId="6" borderId="10" xfId="8" applyNumberFormat="1" applyFill="1" applyBorder="1"/>
    <xf numFmtId="0" fontId="3" fillId="6" borderId="12" xfId="8" applyFill="1" applyBorder="1"/>
    <xf numFmtId="0" fontId="3" fillId="6" borderId="2" xfId="8" applyFill="1" applyBorder="1"/>
    <xf numFmtId="0" fontId="3" fillId="2" borderId="8" xfId="8" applyFill="1" applyBorder="1" applyAlignment="1">
      <alignment horizontal="center"/>
    </xf>
    <xf numFmtId="0" fontId="3" fillId="2" borderId="9" xfId="8" applyFill="1" applyBorder="1"/>
    <xf numFmtId="169" fontId="3" fillId="2" borderId="6" xfId="8" applyNumberFormat="1" applyFill="1" applyBorder="1" applyAlignment="1">
      <alignment horizontal="center"/>
    </xf>
    <xf numFmtId="169" fontId="3" fillId="2" borderId="4" xfId="8" applyNumberFormat="1" applyFill="1" applyBorder="1" applyAlignment="1">
      <alignment horizontal="center"/>
    </xf>
    <xf numFmtId="169" fontId="3" fillId="2" borderId="3" xfId="8" applyNumberFormat="1" applyFill="1" applyBorder="1" applyAlignment="1">
      <alignment horizontal="center"/>
    </xf>
    <xf numFmtId="0" fontId="13" fillId="2" borderId="5" xfId="8" applyFont="1" applyFill="1" applyBorder="1" applyAlignment="1">
      <alignment horizontal="center"/>
    </xf>
    <xf numFmtId="169" fontId="3" fillId="2" borderId="5" xfId="8" applyNumberFormat="1" applyFill="1" applyBorder="1" applyAlignment="1">
      <alignment horizontal="center"/>
    </xf>
    <xf numFmtId="170" fontId="3" fillId="2" borderId="6" xfId="8" applyNumberFormat="1" applyFill="1" applyBorder="1" applyAlignment="1">
      <alignment horizontal="center"/>
    </xf>
    <xf numFmtId="170" fontId="3" fillId="2" borderId="4" xfId="8" applyNumberFormat="1" applyFill="1" applyBorder="1" applyAlignment="1">
      <alignment horizontal="center"/>
    </xf>
    <xf numFmtId="0" fontId="14" fillId="2" borderId="0" xfId="8" applyFont="1" applyFill="1"/>
    <xf numFmtId="170" fontId="3" fillId="2" borderId="3" xfId="8" applyNumberFormat="1" applyFill="1" applyBorder="1" applyAlignment="1">
      <alignment horizontal="center"/>
    </xf>
    <xf numFmtId="0" fontId="3" fillId="2" borderId="12" xfId="8" applyFill="1" applyBorder="1" applyAlignment="1">
      <alignment horizontal="center"/>
    </xf>
    <xf numFmtId="0" fontId="3" fillId="2" borderId="13" xfId="8" applyFill="1" applyBorder="1" applyAlignment="1">
      <alignment horizontal="center"/>
    </xf>
    <xf numFmtId="166" fontId="3" fillId="6" borderId="6" xfId="8" applyNumberFormat="1" applyFill="1" applyBorder="1"/>
    <xf numFmtId="170" fontId="3" fillId="6" borderId="0" xfId="5" applyNumberFormat="1" applyFont="1" applyFill="1" applyBorder="1"/>
    <xf numFmtId="170" fontId="0" fillId="6" borderId="0" xfId="5" applyNumberFormat="1" applyFont="1" applyFill="1" applyBorder="1"/>
    <xf numFmtId="176" fontId="0" fillId="6" borderId="5" xfId="2" applyNumberFormat="1" applyFont="1" applyFill="1" applyBorder="1"/>
    <xf numFmtId="0" fontId="3" fillId="2" borderId="19" xfId="8" applyFill="1" applyBorder="1"/>
    <xf numFmtId="166" fontId="0" fillId="6" borderId="0" xfId="2" applyFont="1" applyFill="1" applyBorder="1" applyAlignment="1">
      <alignment horizontal="center"/>
    </xf>
    <xf numFmtId="0" fontId="3" fillId="2" borderId="21" xfId="8" applyFill="1" applyBorder="1"/>
    <xf numFmtId="10" fontId="0" fillId="6" borderId="0" xfId="5" applyNumberFormat="1" applyFont="1" applyFill="1" applyBorder="1" applyAlignment="1">
      <alignment horizontal="center"/>
    </xf>
    <xf numFmtId="10" fontId="3" fillId="6" borderId="0" xfId="5" applyNumberFormat="1" applyFont="1" applyFill="1" applyBorder="1" applyAlignment="1">
      <alignment horizontal="center"/>
    </xf>
    <xf numFmtId="0" fontId="3" fillId="2" borderId="24" xfId="8" applyFill="1" applyBorder="1"/>
    <xf numFmtId="0" fontId="3" fillId="7" borderId="19" xfId="8" applyFill="1" applyBorder="1"/>
    <xf numFmtId="0" fontId="3" fillId="7" borderId="21" xfId="8" applyFill="1" applyBorder="1"/>
    <xf numFmtId="0" fontId="3" fillId="9" borderId="33" xfId="8" applyFill="1" applyBorder="1"/>
    <xf numFmtId="171" fontId="14" fillId="9" borderId="37" xfId="5" applyNumberFormat="1" applyFont="1" applyFill="1" applyBorder="1"/>
    <xf numFmtId="171" fontId="14" fillId="6" borderId="0" xfId="5" applyNumberFormat="1" applyFont="1" applyFill="1" applyBorder="1"/>
    <xf numFmtId="0" fontId="3" fillId="9" borderId="38" xfId="8" applyFill="1" applyBorder="1"/>
    <xf numFmtId="166" fontId="3" fillId="9" borderId="39" xfId="8" applyNumberFormat="1" applyFill="1" applyBorder="1"/>
    <xf numFmtId="170" fontId="3" fillId="2" borderId="0" xfId="8" applyNumberFormat="1" applyFill="1"/>
    <xf numFmtId="0" fontId="3" fillId="15" borderId="6" xfId="8" applyFill="1" applyBorder="1" applyAlignment="1">
      <alignment horizontal="center"/>
    </xf>
    <xf numFmtId="15" fontId="3" fillId="15" borderId="6" xfId="8" applyNumberFormat="1" applyFill="1" applyBorder="1"/>
    <xf numFmtId="0" fontId="3" fillId="15" borderId="0" xfId="8" applyFill="1"/>
    <xf numFmtId="15" fontId="3" fillId="2" borderId="4" xfId="8" applyNumberFormat="1" applyFill="1" applyBorder="1"/>
    <xf numFmtId="166" fontId="3" fillId="2" borderId="6" xfId="8" applyNumberFormat="1" applyFill="1" applyBorder="1"/>
    <xf numFmtId="165" fontId="3" fillId="2" borderId="4" xfId="8" applyNumberFormat="1" applyFill="1" applyBorder="1"/>
    <xf numFmtId="165" fontId="3" fillId="2" borderId="3" xfId="8" applyNumberFormat="1" applyFill="1" applyBorder="1"/>
    <xf numFmtId="15" fontId="3" fillId="2" borderId="3" xfId="8" applyNumberFormat="1" applyFill="1" applyBorder="1"/>
    <xf numFmtId="0" fontId="10" fillId="7" borderId="0" xfId="8" applyFont="1" applyFill="1"/>
    <xf numFmtId="15" fontId="10" fillId="7" borderId="0" xfId="8" applyNumberFormat="1" applyFont="1" applyFill="1"/>
    <xf numFmtId="0" fontId="3" fillId="15" borderId="4" xfId="8" applyFill="1" applyBorder="1" applyAlignment="1">
      <alignment horizontal="center"/>
    </xf>
    <xf numFmtId="15" fontId="3" fillId="15" borderId="4" xfId="8" applyNumberFormat="1" applyFill="1" applyBorder="1"/>
    <xf numFmtId="15" fontId="3" fillId="2" borderId="6" xfId="8" applyNumberFormat="1" applyFill="1" applyBorder="1"/>
    <xf numFmtId="0" fontId="4" fillId="2" borderId="0" xfId="8" applyFont="1" applyFill="1"/>
    <xf numFmtId="0" fontId="14" fillId="6" borderId="0" xfId="8" applyFont="1" applyFill="1"/>
    <xf numFmtId="10" fontId="14" fillId="6" borderId="0" xfId="8" applyNumberFormat="1" applyFont="1" applyFill="1"/>
    <xf numFmtId="165" fontId="3" fillId="7" borderId="5" xfId="8" applyNumberFormat="1" applyFill="1" applyBorder="1"/>
    <xf numFmtId="0" fontId="3" fillId="11" borderId="5" xfId="8" applyFill="1" applyBorder="1"/>
    <xf numFmtId="0" fontId="10" fillId="6" borderId="0" xfId="8" applyFont="1" applyFill="1"/>
    <xf numFmtId="0" fontId="3" fillId="12" borderId="5" xfId="8" applyFill="1" applyBorder="1"/>
    <xf numFmtId="0" fontId="2" fillId="6" borderId="5" xfId="14" applyFill="1" applyBorder="1"/>
    <xf numFmtId="165" fontId="0" fillId="6" borderId="5" xfId="15" applyFont="1" applyFill="1" applyBorder="1" applyAlignment="1">
      <alignment horizontal="center"/>
    </xf>
    <xf numFmtId="0" fontId="2" fillId="6" borderId="0" xfId="14" applyFill="1"/>
    <xf numFmtId="9" fontId="2" fillId="6" borderId="5" xfId="14" applyNumberFormat="1" applyFill="1" applyBorder="1" applyAlignment="1">
      <alignment horizontal="center"/>
    </xf>
    <xf numFmtId="165" fontId="2" fillId="6" borderId="0" xfId="14" applyNumberFormat="1" applyFill="1"/>
    <xf numFmtId="0" fontId="2" fillId="6" borderId="5" xfId="14" applyFill="1" applyBorder="1" applyAlignment="1">
      <alignment horizontal="center"/>
    </xf>
    <xf numFmtId="165" fontId="2" fillId="6" borderId="5" xfId="14" applyNumberFormat="1" applyFill="1" applyBorder="1" applyAlignment="1">
      <alignment horizontal="center"/>
    </xf>
    <xf numFmtId="165" fontId="2" fillId="7" borderId="5" xfId="14" applyNumberFormat="1" applyFill="1" applyBorder="1"/>
    <xf numFmtId="0" fontId="2" fillId="6" borderId="11" xfId="14" applyFill="1" applyBorder="1"/>
    <xf numFmtId="0" fontId="2" fillId="6" borderId="15" xfId="14" applyFill="1" applyBorder="1"/>
    <xf numFmtId="0" fontId="2" fillId="6" borderId="14" xfId="14" applyFill="1" applyBorder="1"/>
    <xf numFmtId="0" fontId="2" fillId="6" borderId="13" xfId="14" applyFill="1" applyBorder="1"/>
    <xf numFmtId="0" fontId="2" fillId="6" borderId="10" xfId="14" applyFill="1" applyBorder="1"/>
    <xf numFmtId="0" fontId="2" fillId="6" borderId="1" xfId="14" applyFill="1" applyBorder="1"/>
    <xf numFmtId="0" fontId="2" fillId="6" borderId="7" xfId="14" applyFill="1" applyBorder="1"/>
    <xf numFmtId="0" fontId="2" fillId="6" borderId="8" xfId="14" applyFill="1" applyBorder="1"/>
    <xf numFmtId="0" fontId="2" fillId="6" borderId="9" xfId="14" applyFill="1" applyBorder="1"/>
    <xf numFmtId="0" fontId="2" fillId="6" borderId="6" xfId="14" applyFill="1" applyBorder="1" applyAlignment="1">
      <alignment horizontal="center"/>
    </xf>
    <xf numFmtId="0" fontId="2" fillId="6" borderId="4" xfId="14" applyFill="1" applyBorder="1" applyAlignment="1">
      <alignment horizontal="center"/>
    </xf>
    <xf numFmtId="0" fontId="2" fillId="6" borderId="3" xfId="14" applyFill="1" applyBorder="1" applyAlignment="1">
      <alignment horizontal="center"/>
    </xf>
    <xf numFmtId="9" fontId="2" fillId="6" borderId="0" xfId="14" applyNumberFormat="1" applyFill="1"/>
    <xf numFmtId="165" fontId="2" fillId="6" borderId="5" xfId="14" applyNumberFormat="1" applyFill="1" applyBorder="1"/>
    <xf numFmtId="0" fontId="2" fillId="6" borderId="12" xfId="14" applyFill="1" applyBorder="1"/>
    <xf numFmtId="0" fontId="2" fillId="6" borderId="2" xfId="14" applyFill="1" applyBorder="1"/>
    <xf numFmtId="0" fontId="2" fillId="6" borderId="0" xfId="14" applyFill="1" applyAlignment="1">
      <alignment horizontal="center"/>
    </xf>
    <xf numFmtId="165" fontId="0" fillId="7" borderId="5" xfId="15" applyFont="1" applyFill="1" applyBorder="1" applyAlignment="1">
      <alignment horizontal="center"/>
    </xf>
    <xf numFmtId="185" fontId="2" fillId="6" borderId="5" xfId="14" applyNumberFormat="1" applyFill="1" applyBorder="1" applyAlignment="1">
      <alignment horizontal="center"/>
    </xf>
    <xf numFmtId="186" fontId="3" fillId="2" borderId="5" xfId="8" applyNumberFormat="1" applyFill="1" applyBorder="1" applyAlignment="1">
      <alignment horizontal="center"/>
    </xf>
    <xf numFmtId="177" fontId="3" fillId="6" borderId="0" xfId="8" applyNumberFormat="1" applyFill="1"/>
    <xf numFmtId="175" fontId="3" fillId="6" borderId="0" xfId="8" applyNumberFormat="1" applyFill="1"/>
    <xf numFmtId="9" fontId="0" fillId="2" borderId="4" xfId="16" applyFont="1" applyFill="1" applyBorder="1" applyAlignment="1">
      <alignment horizontal="center"/>
    </xf>
    <xf numFmtId="10" fontId="5" fillId="2" borderId="0" xfId="16" applyNumberFormat="1" applyFont="1" applyFill="1" applyBorder="1" applyAlignment="1">
      <alignment horizontal="center"/>
    </xf>
    <xf numFmtId="168" fontId="3" fillId="2" borderId="3" xfId="8" applyNumberFormat="1" applyFill="1" applyBorder="1" applyAlignment="1">
      <alignment horizontal="center"/>
    </xf>
    <xf numFmtId="9" fontId="0" fillId="2" borderId="3" xfId="16" applyFont="1" applyFill="1" applyBorder="1" applyAlignment="1">
      <alignment horizontal="center"/>
    </xf>
    <xf numFmtId="0" fontId="4" fillId="3" borderId="0" xfId="8" applyFont="1" applyFill="1"/>
    <xf numFmtId="0" fontId="4" fillId="3" borderId="5" xfId="8" applyFont="1" applyFill="1" applyBorder="1" applyAlignment="1">
      <alignment horizontal="center"/>
    </xf>
    <xf numFmtId="0" fontId="4" fillId="3" borderId="5" xfId="8" applyFont="1" applyFill="1" applyBorder="1"/>
    <xf numFmtId="168" fontId="4" fillId="3" borderId="6" xfId="8" applyNumberFormat="1" applyFont="1" applyFill="1" applyBorder="1" applyAlignment="1">
      <alignment horizontal="center"/>
    </xf>
    <xf numFmtId="0" fontId="4" fillId="3" borderId="14" xfId="8" applyFont="1" applyFill="1" applyBorder="1" applyAlignment="1">
      <alignment horizontal="center"/>
    </xf>
    <xf numFmtId="0" fontId="4" fillId="3" borderId="14" xfId="8" applyFont="1" applyFill="1" applyBorder="1"/>
    <xf numFmtId="10" fontId="5" fillId="2" borderId="14" xfId="16" applyNumberFormat="1" applyFont="1" applyFill="1" applyBorder="1" applyAlignment="1">
      <alignment horizontal="center"/>
    </xf>
    <xf numFmtId="168" fontId="4" fillId="3" borderId="4" xfId="8" applyNumberFormat="1" applyFont="1" applyFill="1" applyBorder="1" applyAlignment="1">
      <alignment horizontal="center"/>
    </xf>
    <xf numFmtId="0" fontId="4" fillId="3" borderId="2" xfId="8" applyFont="1" applyFill="1" applyBorder="1" applyAlignment="1">
      <alignment horizontal="center"/>
    </xf>
    <xf numFmtId="0" fontId="4" fillId="3" borderId="2" xfId="8" applyFont="1" applyFill="1" applyBorder="1"/>
    <xf numFmtId="10" fontId="5" fillId="2" borderId="2" xfId="16" applyNumberFormat="1" applyFont="1" applyFill="1" applyBorder="1" applyAlignment="1">
      <alignment horizontal="center"/>
    </xf>
    <xf numFmtId="10" fontId="5" fillId="2" borderId="1" xfId="16" applyNumberFormat="1" applyFont="1" applyFill="1" applyBorder="1" applyAlignment="1">
      <alignment horizontal="center"/>
    </xf>
    <xf numFmtId="168" fontId="4" fillId="3" borderId="3" xfId="8" applyNumberFormat="1" applyFont="1" applyFill="1" applyBorder="1" applyAlignment="1">
      <alignment horizontal="center"/>
    </xf>
    <xf numFmtId="0" fontId="4" fillId="3" borderId="1" xfId="8" applyFont="1" applyFill="1" applyBorder="1" applyAlignment="1">
      <alignment horizontal="center"/>
    </xf>
    <xf numFmtId="0" fontId="4" fillId="3" borderId="1" xfId="8" applyFont="1" applyFill="1" applyBorder="1"/>
    <xf numFmtId="14" fontId="3" fillId="2" borderId="0" xfId="8" applyNumberFormat="1" applyFill="1"/>
    <xf numFmtId="10" fontId="3" fillId="2" borderId="0" xfId="8" applyNumberFormat="1" applyFill="1" applyAlignment="1">
      <alignment horizontal="center"/>
    </xf>
    <xf numFmtId="0" fontId="4" fillId="4" borderId="0" xfId="8" applyFont="1" applyFill="1"/>
    <xf numFmtId="0" fontId="3" fillId="4" borderId="5" xfId="8" applyFill="1" applyBorder="1" applyAlignment="1">
      <alignment horizontal="center"/>
    </xf>
    <xf numFmtId="0" fontId="3" fillId="4" borderId="5" xfId="8" applyFill="1" applyBorder="1"/>
    <xf numFmtId="168" fontId="3" fillId="4" borderId="6" xfId="8" applyNumberFormat="1" applyFill="1" applyBorder="1" applyAlignment="1">
      <alignment horizontal="center"/>
    </xf>
    <xf numFmtId="0" fontId="3" fillId="4" borderId="6" xfId="8" applyFill="1" applyBorder="1" applyAlignment="1">
      <alignment horizontal="center"/>
    </xf>
    <xf numFmtId="10" fontId="5" fillId="8" borderId="6" xfId="8" applyNumberFormat="1" applyFont="1" applyFill="1" applyBorder="1" applyAlignment="1">
      <alignment horizontal="center"/>
    </xf>
    <xf numFmtId="168" fontId="3" fillId="4" borderId="4" xfId="8" applyNumberFormat="1" applyFill="1" applyBorder="1" applyAlignment="1">
      <alignment horizontal="center"/>
    </xf>
    <xf numFmtId="0" fontId="3" fillId="4" borderId="4" xfId="8" applyFill="1" applyBorder="1" applyAlignment="1">
      <alignment horizontal="center"/>
    </xf>
    <xf numFmtId="10" fontId="3" fillId="4" borderId="4" xfId="8" applyNumberFormat="1" applyFill="1" applyBorder="1" applyAlignment="1">
      <alignment horizontal="center"/>
    </xf>
    <xf numFmtId="10" fontId="5" fillId="8" borderId="4" xfId="8" applyNumberFormat="1" applyFont="1" applyFill="1" applyBorder="1" applyAlignment="1">
      <alignment horizontal="center"/>
    </xf>
    <xf numFmtId="0" fontId="3" fillId="5" borderId="12" xfId="8" applyFill="1" applyBorder="1"/>
    <xf numFmtId="10" fontId="5" fillId="5" borderId="4" xfId="16" applyNumberFormat="1" applyFont="1" applyFill="1" applyBorder="1" applyAlignment="1">
      <alignment horizontal="center"/>
    </xf>
    <xf numFmtId="168" fontId="3" fillId="4" borderId="3" xfId="8" applyNumberFormat="1" applyFill="1" applyBorder="1" applyAlignment="1">
      <alignment horizontal="center"/>
    </xf>
    <xf numFmtId="0" fontId="3" fillId="4" borderId="3" xfId="8" applyFill="1" applyBorder="1" applyAlignment="1">
      <alignment horizontal="center"/>
    </xf>
    <xf numFmtId="10" fontId="3" fillId="4" borderId="3" xfId="8" applyNumberFormat="1" applyFill="1" applyBorder="1" applyAlignment="1">
      <alignment horizontal="center"/>
    </xf>
    <xf numFmtId="10" fontId="5" fillId="8" borderId="3" xfId="8" applyNumberFormat="1" applyFont="1" applyFill="1" applyBorder="1" applyAlignment="1">
      <alignment horizontal="center"/>
    </xf>
    <xf numFmtId="180" fontId="3" fillId="3" borderId="0" xfId="8" applyNumberFormat="1" applyFill="1"/>
    <xf numFmtId="10" fontId="5" fillId="2" borderId="6" xfId="8" applyNumberFormat="1" applyFont="1" applyFill="1" applyBorder="1" applyAlignment="1">
      <alignment horizontal="center"/>
    </xf>
    <xf numFmtId="10" fontId="5" fillId="2" borderId="4" xfId="8" applyNumberFormat="1" applyFont="1" applyFill="1" applyBorder="1" applyAlignment="1">
      <alignment horizontal="center"/>
    </xf>
    <xf numFmtId="10" fontId="5" fillId="16" borderId="4" xfId="8" applyNumberFormat="1" applyFont="1" applyFill="1" applyBorder="1" applyAlignment="1">
      <alignment horizontal="center"/>
    </xf>
    <xf numFmtId="10" fontId="5" fillId="2" borderId="3" xfId="8" applyNumberFormat="1" applyFont="1" applyFill="1" applyBorder="1" applyAlignment="1">
      <alignment horizontal="center"/>
    </xf>
    <xf numFmtId="0" fontId="3" fillId="5" borderId="6" xfId="8" applyFill="1" applyBorder="1"/>
    <xf numFmtId="10" fontId="5" fillId="5" borderId="6" xfId="8" applyNumberFormat="1" applyFont="1" applyFill="1" applyBorder="1" applyAlignment="1">
      <alignment horizontal="center"/>
    </xf>
    <xf numFmtId="10" fontId="5" fillId="2" borderId="4" xfId="16" applyNumberFormat="1" applyFont="1" applyFill="1" applyBorder="1" applyAlignment="1">
      <alignment horizontal="center"/>
    </xf>
    <xf numFmtId="0" fontId="3" fillId="5" borderId="4" xfId="8" applyFill="1" applyBorder="1"/>
    <xf numFmtId="10" fontId="5" fillId="5" borderId="4" xfId="8" applyNumberFormat="1" applyFont="1" applyFill="1" applyBorder="1" applyAlignment="1">
      <alignment horizontal="center"/>
    </xf>
    <xf numFmtId="0" fontId="3" fillId="7" borderId="11" xfId="8" applyFill="1" applyBorder="1"/>
    <xf numFmtId="0" fontId="3" fillId="7" borderId="15" xfId="8" applyFill="1" applyBorder="1"/>
    <xf numFmtId="0" fontId="3" fillId="7" borderId="14" xfId="8" applyFill="1" applyBorder="1"/>
    <xf numFmtId="0" fontId="3" fillId="7" borderId="2" xfId="8" applyFill="1" applyBorder="1"/>
    <xf numFmtId="0" fontId="3" fillId="7" borderId="6" xfId="8" applyFill="1" applyBorder="1" applyAlignment="1">
      <alignment horizontal="center"/>
    </xf>
    <xf numFmtId="0" fontId="3" fillId="7" borderId="3" xfId="8" applyFill="1" applyBorder="1" applyAlignment="1">
      <alignment horizontal="center"/>
    </xf>
    <xf numFmtId="0" fontId="3" fillId="7" borderId="1" xfId="8" applyFill="1" applyBorder="1" applyAlignment="1">
      <alignment horizontal="center"/>
    </xf>
    <xf numFmtId="0" fontId="3" fillId="7" borderId="12" xfId="8" applyFill="1" applyBorder="1"/>
    <xf numFmtId="0" fontId="3" fillId="9" borderId="11" xfId="8" applyFill="1" applyBorder="1"/>
    <xf numFmtId="0" fontId="3" fillId="9" borderId="15" xfId="8" applyFill="1" applyBorder="1"/>
    <xf numFmtId="0" fontId="3" fillId="9" borderId="14" xfId="8" applyFill="1" applyBorder="1"/>
    <xf numFmtId="0" fontId="3" fillId="9" borderId="5" xfId="8" applyFill="1" applyBorder="1"/>
    <xf numFmtId="0" fontId="3" fillId="9" borderId="2" xfId="8" applyFill="1" applyBorder="1"/>
    <xf numFmtId="0" fontId="3" fillId="9" borderId="6" xfId="8" applyFill="1" applyBorder="1" applyAlignment="1">
      <alignment horizontal="center"/>
    </xf>
    <xf numFmtId="0" fontId="3" fillId="9" borderId="14" xfId="8" applyFill="1" applyBorder="1" applyAlignment="1">
      <alignment horizontal="center"/>
    </xf>
    <xf numFmtId="0" fontId="3" fillId="9" borderId="4" xfId="8" applyFill="1" applyBorder="1" applyAlignment="1">
      <alignment horizontal="center"/>
    </xf>
    <xf numFmtId="0" fontId="3" fillId="9" borderId="2" xfId="8" applyFill="1" applyBorder="1" applyAlignment="1">
      <alignment horizontal="center"/>
    </xf>
    <xf numFmtId="0" fontId="3" fillId="9" borderId="3" xfId="8" applyFill="1" applyBorder="1" applyAlignment="1">
      <alignment horizontal="center"/>
    </xf>
    <xf numFmtId="0" fontId="3" fillId="9" borderId="1" xfId="8" applyFill="1" applyBorder="1" applyAlignment="1">
      <alignment horizontal="center"/>
    </xf>
    <xf numFmtId="0" fontId="3" fillId="9" borderId="13" xfId="8" applyFill="1" applyBorder="1"/>
    <xf numFmtId="0" fontId="3" fillId="9" borderId="10" xfId="8" applyFill="1" applyBorder="1"/>
    <xf numFmtId="0" fontId="3" fillId="9" borderId="1" xfId="8" applyFill="1" applyBorder="1"/>
    <xf numFmtId="0" fontId="3" fillId="8" borderId="11" xfId="8" applyFill="1" applyBorder="1"/>
    <xf numFmtId="0" fontId="3" fillId="8" borderId="15" xfId="8" applyFill="1" applyBorder="1"/>
    <xf numFmtId="0" fontId="3" fillId="8" borderId="14" xfId="8" applyFill="1" applyBorder="1"/>
    <xf numFmtId="0" fontId="3" fillId="8" borderId="5" xfId="8" applyFill="1" applyBorder="1"/>
    <xf numFmtId="0" fontId="3" fillId="8" borderId="2" xfId="8" applyFill="1" applyBorder="1"/>
    <xf numFmtId="0" fontId="3" fillId="8" borderId="4" xfId="8" applyFill="1" applyBorder="1" applyAlignment="1">
      <alignment horizontal="center"/>
    </xf>
    <xf numFmtId="0" fontId="3" fillId="8" borderId="13" xfId="8" applyFill="1" applyBorder="1"/>
    <xf numFmtId="0" fontId="3" fillId="8" borderId="10" xfId="8" applyFill="1" applyBorder="1"/>
    <xf numFmtId="0" fontId="3" fillId="8" borderId="1" xfId="8" applyFill="1" applyBorder="1"/>
    <xf numFmtId="0" fontId="3" fillId="10" borderId="12" xfId="8" applyFill="1" applyBorder="1"/>
    <xf numFmtId="0" fontId="3" fillId="10" borderId="0" xfId="8" applyFill="1"/>
    <xf numFmtId="0" fontId="3" fillId="10" borderId="2" xfId="8" applyFill="1" applyBorder="1"/>
    <xf numFmtId="0" fontId="3" fillId="10" borderId="5" xfId="8" applyFill="1" applyBorder="1"/>
    <xf numFmtId="0" fontId="3" fillId="10" borderId="6" xfId="8" applyFill="1" applyBorder="1"/>
    <xf numFmtId="0" fontId="3" fillId="10" borderId="6" xfId="8" applyFill="1" applyBorder="1" applyAlignment="1">
      <alignment horizontal="center"/>
    </xf>
    <xf numFmtId="0" fontId="3" fillId="10" borderId="11" xfId="8" applyFill="1" applyBorder="1" applyAlignment="1">
      <alignment horizontal="center"/>
    </xf>
    <xf numFmtId="0" fontId="3" fillId="10" borderId="4" xfId="8" applyFill="1" applyBorder="1" applyAlignment="1">
      <alignment horizontal="center"/>
    </xf>
    <xf numFmtId="0" fontId="3" fillId="10" borderId="12" xfId="8" applyFill="1" applyBorder="1" applyAlignment="1">
      <alignment horizontal="center"/>
    </xf>
    <xf numFmtId="0" fontId="3" fillId="10" borderId="3" xfId="8" applyFill="1" applyBorder="1" applyAlignment="1">
      <alignment horizontal="center"/>
    </xf>
    <xf numFmtId="0" fontId="3" fillId="10" borderId="13" xfId="8" applyFill="1" applyBorder="1" applyAlignment="1">
      <alignment horizontal="center"/>
    </xf>
    <xf numFmtId="0" fontId="3" fillId="10" borderId="13" xfId="8" applyFill="1" applyBorder="1"/>
    <xf numFmtId="0" fontId="3" fillId="10" borderId="10" xfId="8" applyFill="1" applyBorder="1"/>
    <xf numFmtId="0" fontId="3" fillId="3" borderId="3" xfId="8" applyFill="1" applyBorder="1"/>
    <xf numFmtId="166" fontId="3" fillId="3" borderId="1" xfId="8" applyNumberFormat="1" applyFill="1" applyBorder="1"/>
    <xf numFmtId="0" fontId="3" fillId="3" borderId="13" xfId="8" applyFill="1" applyBorder="1"/>
    <xf numFmtId="0" fontId="3" fillId="7" borderId="40" xfId="8" applyFill="1" applyBorder="1"/>
    <xf numFmtId="0" fontId="3" fillId="7" borderId="41" xfId="8" applyFill="1" applyBorder="1"/>
    <xf numFmtId="0" fontId="3" fillId="7" borderId="42" xfId="8" applyFill="1" applyBorder="1"/>
    <xf numFmtId="0" fontId="3" fillId="12" borderId="6" xfId="8" applyFill="1" applyBorder="1"/>
    <xf numFmtId="166" fontId="0" fillId="12" borderId="6" xfId="2" applyFont="1" applyFill="1" applyBorder="1"/>
    <xf numFmtId="0" fontId="3" fillId="12" borderId="4" xfId="8" applyFill="1" applyBorder="1"/>
    <xf numFmtId="166" fontId="0" fillId="12" borderId="4" xfId="2" applyFont="1" applyFill="1" applyBorder="1"/>
    <xf numFmtId="10" fontId="3" fillId="12" borderId="4" xfId="8" applyNumberFormat="1" applyFill="1" applyBorder="1"/>
    <xf numFmtId="0" fontId="3" fillId="12" borderId="3" xfId="8" applyFill="1" applyBorder="1"/>
    <xf numFmtId="166" fontId="3" fillId="12" borderId="3" xfId="8" applyNumberFormat="1" applyFill="1" applyBorder="1"/>
    <xf numFmtId="166" fontId="3" fillId="12" borderId="4" xfId="8" applyNumberFormat="1" applyFill="1" applyBorder="1"/>
    <xf numFmtId="166" fontId="3" fillId="12" borderId="5" xfId="8" applyNumberFormat="1" applyFill="1" applyBorder="1"/>
    <xf numFmtId="10" fontId="0" fillId="2" borderId="4" xfId="5" applyNumberFormat="1" applyFont="1" applyFill="1" applyBorder="1" applyAlignment="1">
      <alignment horizontal="center"/>
    </xf>
    <xf numFmtId="166" fontId="3" fillId="7" borderId="5" xfId="2" applyFill="1" applyBorder="1"/>
    <xf numFmtId="166" fontId="3" fillId="2" borderId="5" xfId="2" applyFill="1" applyBorder="1"/>
    <xf numFmtId="10" fontId="3" fillId="7" borderId="5" xfId="5" applyNumberFormat="1" applyFill="1" applyBorder="1"/>
    <xf numFmtId="0" fontId="4" fillId="0" borderId="5" xfId="8" applyFont="1" applyBorder="1" applyAlignment="1">
      <alignment horizontal="center" vertical="center" wrapText="1"/>
    </xf>
    <xf numFmtId="0" fontId="3" fillId="0" borderId="5" xfId="8" applyBorder="1" applyAlignment="1">
      <alignment vertical="center" wrapText="1"/>
    </xf>
    <xf numFmtId="10" fontId="3" fillId="0" borderId="5" xfId="8" applyNumberFormat="1" applyBorder="1" applyAlignment="1">
      <alignment vertical="center" wrapText="1"/>
    </xf>
    <xf numFmtId="17" fontId="3" fillId="0" borderId="5" xfId="8" applyNumberFormat="1" applyBorder="1" applyAlignment="1">
      <alignment vertical="center" wrapText="1"/>
    </xf>
    <xf numFmtId="164" fontId="3" fillId="0" borderId="5" xfId="8" applyNumberFormat="1" applyBorder="1" applyAlignment="1">
      <alignment vertical="center" wrapText="1"/>
    </xf>
    <xf numFmtId="0" fontId="3" fillId="7" borderId="5" xfId="8" applyFill="1" applyBorder="1" applyAlignment="1">
      <alignment horizontal="center" vertical="center"/>
    </xf>
    <xf numFmtId="164" fontId="3" fillId="7" borderId="5" xfId="8" applyNumberFormat="1" applyFill="1" applyBorder="1" applyAlignment="1">
      <alignment horizontal="center"/>
    </xf>
    <xf numFmtId="0" fontId="14" fillId="7" borderId="17" xfId="8" applyFont="1" applyFill="1" applyBorder="1"/>
    <xf numFmtId="164" fontId="14" fillId="7" borderId="19" xfId="8" applyNumberFormat="1" applyFont="1" applyFill="1" applyBorder="1"/>
    <xf numFmtId="0" fontId="14" fillId="7" borderId="22" xfId="8" applyFont="1" applyFill="1" applyBorder="1"/>
    <xf numFmtId="164" fontId="14" fillId="7" borderId="24" xfId="8" applyNumberFormat="1" applyFont="1" applyFill="1" applyBorder="1"/>
    <xf numFmtId="15" fontId="3" fillId="2" borderId="6" xfId="8" applyNumberFormat="1" applyFill="1" applyBorder="1" applyAlignment="1">
      <alignment horizontal="center"/>
    </xf>
    <xf numFmtId="10" fontId="3" fillId="2" borderId="6" xfId="8" applyNumberFormat="1" applyFill="1" applyBorder="1" applyAlignment="1">
      <alignment horizontal="center"/>
    </xf>
    <xf numFmtId="15" fontId="3" fillId="6" borderId="4" xfId="8" applyNumberFormat="1" applyFill="1" applyBorder="1" applyAlignment="1">
      <alignment horizontal="center"/>
    </xf>
    <xf numFmtId="10" fontId="3" fillId="7" borderId="4" xfId="8" applyNumberFormat="1" applyFill="1" applyBorder="1" applyAlignment="1">
      <alignment horizontal="center"/>
    </xf>
    <xf numFmtId="166" fontId="3" fillId="6" borderId="4" xfId="10" applyFont="1" applyFill="1" applyBorder="1" applyAlignment="1">
      <alignment horizontal="center"/>
    </xf>
    <xf numFmtId="15" fontId="3" fillId="2" borderId="4" xfId="8" applyNumberFormat="1" applyFill="1" applyBorder="1" applyAlignment="1">
      <alignment horizontal="center"/>
    </xf>
    <xf numFmtId="166" fontId="3" fillId="17" borderId="4" xfId="10" applyFont="1" applyFill="1" applyBorder="1" applyAlignment="1">
      <alignment horizontal="center"/>
    </xf>
    <xf numFmtId="15" fontId="3" fillId="2" borderId="3" xfId="8" applyNumberFormat="1" applyFill="1" applyBorder="1" applyAlignment="1">
      <alignment horizontal="center"/>
    </xf>
    <xf numFmtId="0" fontId="3" fillId="2" borderId="7" xfId="8" applyFill="1" applyBorder="1" applyAlignment="1">
      <alignment horizontal="center"/>
    </xf>
    <xf numFmtId="166" fontId="0" fillId="2" borderId="9" xfId="10" applyFont="1" applyFill="1" applyBorder="1" applyAlignment="1">
      <alignment horizontal="center"/>
    </xf>
    <xf numFmtId="166" fontId="0" fillId="2" borderId="5" xfId="10" applyFont="1" applyFill="1" applyBorder="1" applyAlignment="1">
      <alignment horizontal="center"/>
    </xf>
    <xf numFmtId="10" fontId="0" fillId="2" borderId="5" xfId="9" applyNumberFormat="1" applyFont="1" applyFill="1" applyBorder="1" applyAlignment="1">
      <alignment horizontal="center"/>
    </xf>
    <xf numFmtId="166" fontId="0" fillId="2" borderId="5" xfId="10" applyFont="1" applyFill="1" applyBorder="1"/>
    <xf numFmtId="174" fontId="3" fillId="2" borderId="0" xfId="8" applyNumberFormat="1" applyFill="1" applyAlignment="1">
      <alignment horizontal="right"/>
    </xf>
    <xf numFmtId="0" fontId="3" fillId="2" borderId="0" xfId="8" applyFill="1" applyAlignment="1">
      <alignment horizontal="right"/>
    </xf>
    <xf numFmtId="0" fontId="3" fillId="2" borderId="2" xfId="8" applyFill="1" applyBorder="1"/>
    <xf numFmtId="0" fontId="3" fillId="3" borderId="40" xfId="8" applyFill="1" applyBorder="1" applyAlignment="1">
      <alignment horizontal="center"/>
    </xf>
    <xf numFmtId="0" fontId="3" fillId="3" borderId="25" xfId="8" applyFill="1" applyBorder="1" applyAlignment="1">
      <alignment horizontal="center"/>
    </xf>
    <xf numFmtId="0" fontId="3" fillId="3" borderId="26" xfId="8" applyFill="1" applyBorder="1" applyAlignment="1">
      <alignment horizontal="center"/>
    </xf>
    <xf numFmtId="0" fontId="3" fillId="2" borderId="26" xfId="8" applyFill="1" applyBorder="1" applyAlignment="1">
      <alignment horizontal="center"/>
    </xf>
    <xf numFmtId="0" fontId="3" fillId="3" borderId="16" xfId="8" applyFill="1" applyBorder="1" applyAlignment="1">
      <alignment horizontal="center"/>
    </xf>
    <xf numFmtId="0" fontId="3" fillId="2" borderId="40" xfId="8" applyFill="1" applyBorder="1" applyAlignment="1">
      <alignment horizontal="center" vertical="center"/>
    </xf>
    <xf numFmtId="0" fontId="3" fillId="7" borderId="16" xfId="8" applyFill="1" applyBorder="1" applyAlignment="1">
      <alignment vertical="center"/>
    </xf>
    <xf numFmtId="0" fontId="3" fillId="2" borderId="42" xfId="8" applyFill="1" applyBorder="1" applyAlignment="1">
      <alignment horizontal="left" vertical="center"/>
    </xf>
    <xf numFmtId="0" fontId="3" fillId="3" borderId="5" xfId="8" applyFill="1" applyBorder="1" applyAlignment="1">
      <alignment horizontal="center"/>
    </xf>
    <xf numFmtId="15" fontId="3" fillId="3" borderId="4" xfId="8" applyNumberFormat="1" applyFill="1" applyBorder="1" applyAlignment="1">
      <alignment horizontal="center"/>
    </xf>
    <xf numFmtId="169" fontId="3" fillId="3" borderId="6" xfId="8" applyNumberFormat="1" applyFill="1" applyBorder="1" applyAlignment="1">
      <alignment horizontal="center"/>
    </xf>
    <xf numFmtId="169" fontId="3" fillId="6" borderId="0" xfId="8" applyNumberFormat="1" applyFill="1" applyAlignment="1">
      <alignment horizontal="center"/>
    </xf>
    <xf numFmtId="15" fontId="3" fillId="6" borderId="0" xfId="8" applyNumberFormat="1" applyFill="1"/>
    <xf numFmtId="0" fontId="20" fillId="6" borderId="0" xfId="8" applyFont="1" applyFill="1"/>
    <xf numFmtId="169" fontId="3" fillId="3" borderId="4" xfId="8" applyNumberFormat="1" applyFill="1" applyBorder="1" applyAlignment="1">
      <alignment horizontal="center"/>
    </xf>
    <xf numFmtId="169" fontId="3" fillId="3" borderId="3" xfId="8" applyNumberFormat="1" applyFill="1" applyBorder="1" applyAlignment="1">
      <alignment horizontal="center"/>
    </xf>
    <xf numFmtId="0" fontId="3" fillId="2" borderId="15" xfId="8" applyFill="1" applyBorder="1" applyAlignment="1">
      <alignment horizontal="center"/>
    </xf>
    <xf numFmtId="170" fontId="4" fillId="6" borderId="0" xfId="9" applyNumberFormat="1" applyFont="1" applyFill="1"/>
    <xf numFmtId="0" fontId="20" fillId="0" borderId="0" xfId="8" applyFont="1"/>
    <xf numFmtId="169" fontId="3" fillId="6" borderId="6" xfId="8" applyNumberFormat="1" applyFill="1" applyBorder="1" applyAlignment="1">
      <alignment horizontal="center"/>
    </xf>
    <xf numFmtId="169" fontId="3" fillId="6" borderId="4" xfId="8" applyNumberFormat="1" applyFill="1" applyBorder="1" applyAlignment="1">
      <alignment horizontal="center"/>
    </xf>
    <xf numFmtId="174" fontId="3" fillId="2" borderId="4" xfId="8" applyNumberFormat="1" applyFill="1" applyBorder="1"/>
    <xf numFmtId="171" fontId="3" fillId="7" borderId="5" xfId="5" applyNumberFormat="1" applyFill="1" applyBorder="1"/>
    <xf numFmtId="169" fontId="3" fillId="6" borderId="3" xfId="8" applyNumberFormat="1" applyFill="1" applyBorder="1" applyAlignment="1">
      <alignment horizontal="center"/>
    </xf>
    <xf numFmtId="174" fontId="3" fillId="2" borderId="3" xfId="8" applyNumberFormat="1" applyFill="1" applyBorder="1"/>
    <xf numFmtId="15" fontId="3" fillId="3" borderId="6" xfId="8" applyNumberFormat="1" applyFill="1" applyBorder="1" applyAlignment="1">
      <alignment horizontal="center"/>
    </xf>
    <xf numFmtId="15" fontId="3" fillId="6" borderId="14" xfId="8" applyNumberFormat="1" applyFill="1" applyBorder="1"/>
    <xf numFmtId="174" fontId="3" fillId="2" borderId="12" xfId="8" applyNumberFormat="1" applyFill="1" applyBorder="1"/>
    <xf numFmtId="174" fontId="3" fillId="2" borderId="13" xfId="8" applyNumberFormat="1" applyFill="1" applyBorder="1"/>
    <xf numFmtId="0" fontId="3" fillId="6" borderId="3" xfId="8" applyFill="1" applyBorder="1"/>
    <xf numFmtId="170" fontId="4" fillId="7" borderId="0" xfId="9" applyNumberFormat="1" applyFont="1" applyFill="1"/>
    <xf numFmtId="0" fontId="3" fillId="8" borderId="14" xfId="8" applyFill="1" applyBorder="1" applyAlignment="1">
      <alignment horizontal="center"/>
    </xf>
    <xf numFmtId="0" fontId="3" fillId="7" borderId="4" xfId="8" applyFill="1" applyBorder="1" applyAlignment="1">
      <alignment horizontal="center"/>
    </xf>
    <xf numFmtId="0" fontId="3" fillId="7" borderId="2" xfId="8" applyFill="1" applyBorder="1" applyAlignment="1">
      <alignment horizontal="center"/>
    </xf>
    <xf numFmtId="0" fontId="3" fillId="8" borderId="2" xfId="8" applyFill="1" applyBorder="1" applyAlignment="1">
      <alignment horizontal="center"/>
    </xf>
    <xf numFmtId="0" fontId="10" fillId="7" borderId="5" xfId="8" applyFont="1" applyFill="1" applyBorder="1"/>
    <xf numFmtId="0" fontId="3" fillId="7" borderId="9" xfId="8" applyFill="1" applyBorder="1" applyAlignment="1">
      <alignment horizontal="center"/>
    </xf>
    <xf numFmtId="0" fontId="3" fillId="9" borderId="9" xfId="8" applyFill="1" applyBorder="1" applyAlignment="1">
      <alignment horizontal="center"/>
    </xf>
    <xf numFmtId="0" fontId="3" fillId="9" borderId="5" xfId="8" applyFill="1" applyBorder="1" applyAlignment="1">
      <alignment horizontal="center"/>
    </xf>
    <xf numFmtId="0" fontId="3" fillId="18" borderId="9" xfId="8" applyFill="1" applyBorder="1" applyAlignment="1">
      <alignment horizontal="center"/>
    </xf>
    <xf numFmtId="0" fontId="3" fillId="18" borderId="5" xfId="8" applyFill="1" applyBorder="1" applyAlignment="1">
      <alignment horizontal="center"/>
    </xf>
    <xf numFmtId="10" fontId="3" fillId="2" borderId="2" xfId="9" applyNumberFormat="1" applyFill="1" applyBorder="1" applyAlignment="1">
      <alignment horizontal="center"/>
    </xf>
    <xf numFmtId="0" fontId="3" fillId="18" borderId="5" xfId="8" applyFill="1" applyBorder="1"/>
    <xf numFmtId="0" fontId="18" fillId="7" borderId="20" xfId="8" applyFont="1" applyFill="1" applyBorder="1" applyAlignment="1">
      <alignment horizontal="center"/>
    </xf>
    <xf numFmtId="0" fontId="18" fillId="7" borderId="0" xfId="8" applyFont="1" applyFill="1" applyAlignment="1">
      <alignment horizontal="center"/>
    </xf>
    <xf numFmtId="0" fontId="18" fillId="7" borderId="21" xfId="8" applyFont="1" applyFill="1" applyBorder="1" applyAlignment="1">
      <alignment horizontal="center"/>
    </xf>
    <xf numFmtId="0" fontId="18" fillId="9" borderId="31" xfId="8" applyFont="1" applyFill="1" applyBorder="1" applyAlignment="1">
      <alignment horizontal="center"/>
    </xf>
    <xf numFmtId="0" fontId="18" fillId="9" borderId="43" xfId="8" applyFont="1" applyFill="1" applyBorder="1" applyAlignment="1">
      <alignment horizontal="center"/>
    </xf>
    <xf numFmtId="0" fontId="18" fillId="9" borderId="44" xfId="8" applyFont="1" applyFill="1" applyBorder="1" applyAlignment="1">
      <alignment horizontal="center"/>
    </xf>
    <xf numFmtId="0" fontId="18" fillId="18" borderId="45" xfId="8" applyFont="1" applyFill="1" applyBorder="1" applyAlignment="1">
      <alignment horizontal="center"/>
    </xf>
    <xf numFmtId="0" fontId="18" fillId="18" borderId="4" xfId="8" applyFont="1" applyFill="1" applyBorder="1" applyAlignment="1">
      <alignment horizontal="center"/>
    </xf>
    <xf numFmtId="0" fontId="18" fillId="18" borderId="46" xfId="8" applyFont="1" applyFill="1" applyBorder="1" applyAlignment="1">
      <alignment horizontal="center"/>
    </xf>
    <xf numFmtId="165" fontId="0" fillId="7" borderId="17" xfId="13" applyFont="1" applyFill="1" applyBorder="1"/>
    <xf numFmtId="165" fontId="0" fillId="7" borderId="18" xfId="13" applyFont="1" applyFill="1" applyBorder="1"/>
    <xf numFmtId="165" fontId="0" fillId="7" borderId="19" xfId="13" applyFont="1" applyFill="1" applyBorder="1"/>
    <xf numFmtId="165" fontId="0" fillId="9" borderId="17" xfId="13" applyFont="1" applyFill="1" applyBorder="1"/>
    <xf numFmtId="165" fontId="0" fillId="9" borderId="18" xfId="13" applyFont="1" applyFill="1" applyBorder="1"/>
    <xf numFmtId="165" fontId="0" fillId="9" borderId="19" xfId="13" applyFont="1" applyFill="1" applyBorder="1"/>
    <xf numFmtId="165" fontId="0" fillId="18" borderId="17" xfId="13" applyFont="1" applyFill="1" applyBorder="1"/>
    <xf numFmtId="165" fontId="0" fillId="18" borderId="18" xfId="13" applyFont="1" applyFill="1" applyBorder="1"/>
    <xf numFmtId="165" fontId="0" fillId="18" borderId="19" xfId="13" applyFont="1" applyFill="1" applyBorder="1"/>
    <xf numFmtId="165" fontId="0" fillId="7" borderId="20" xfId="13" applyFont="1" applyFill="1" applyBorder="1"/>
    <xf numFmtId="165" fontId="0" fillId="7" borderId="0" xfId="13" applyFont="1" applyFill="1" applyBorder="1"/>
    <xf numFmtId="165" fontId="0" fillId="7" borderId="21" xfId="13" applyFont="1" applyFill="1" applyBorder="1"/>
    <xf numFmtId="165" fontId="0" fillId="9" borderId="20" xfId="13" applyFont="1" applyFill="1" applyBorder="1"/>
    <xf numFmtId="165" fontId="0" fillId="9" borderId="0" xfId="13" applyFont="1" applyFill="1" applyBorder="1"/>
    <xf numFmtId="165" fontId="0" fillId="9" borderId="21" xfId="13" applyFont="1" applyFill="1" applyBorder="1"/>
    <xf numFmtId="165" fontId="0" fillId="18" borderId="20" xfId="13" applyFont="1" applyFill="1" applyBorder="1"/>
    <xf numFmtId="165" fontId="0" fillId="18" borderId="0" xfId="13" applyFont="1" applyFill="1" applyBorder="1"/>
    <xf numFmtId="0" fontId="3" fillId="18" borderId="21" xfId="8" applyFill="1" applyBorder="1"/>
    <xf numFmtId="165" fontId="0" fillId="18" borderId="21" xfId="13" applyFont="1" applyFill="1" applyBorder="1"/>
    <xf numFmtId="165" fontId="0" fillId="7" borderId="22" xfId="13" applyFont="1" applyFill="1" applyBorder="1"/>
    <xf numFmtId="165" fontId="0" fillId="7" borderId="23" xfId="13" applyFont="1" applyFill="1" applyBorder="1"/>
    <xf numFmtId="165" fontId="0" fillId="7" borderId="24" xfId="13" applyFont="1" applyFill="1" applyBorder="1"/>
    <xf numFmtId="165" fontId="0" fillId="9" borderId="22" xfId="13" applyFont="1" applyFill="1" applyBorder="1"/>
    <xf numFmtId="165" fontId="0" fillId="9" borderId="23" xfId="13" applyFont="1" applyFill="1" applyBorder="1"/>
    <xf numFmtId="165" fontId="0" fillId="9" borderId="24" xfId="13" applyFont="1" applyFill="1" applyBorder="1"/>
    <xf numFmtId="0" fontId="3" fillId="18" borderId="22" xfId="8" applyFill="1" applyBorder="1"/>
    <xf numFmtId="0" fontId="3" fillId="18" borderId="23" xfId="8" applyFill="1" applyBorder="1"/>
    <xf numFmtId="181" fontId="3" fillId="18" borderId="23" xfId="8" applyNumberFormat="1" applyFill="1" applyBorder="1"/>
    <xf numFmtId="165" fontId="0" fillId="18" borderId="24" xfId="13" applyFont="1" applyFill="1" applyBorder="1"/>
    <xf numFmtId="10" fontId="0" fillId="6" borderId="5" xfId="9" applyNumberFormat="1" applyFont="1" applyFill="1" applyBorder="1" applyAlignment="1">
      <alignment horizontal="center"/>
    </xf>
    <xf numFmtId="0" fontId="3" fillId="19" borderId="5" xfId="8" applyFill="1" applyBorder="1"/>
    <xf numFmtId="0" fontId="3" fillId="20" borderId="5" xfId="8" applyFill="1" applyBorder="1"/>
    <xf numFmtId="0" fontId="3" fillId="21" borderId="5" xfId="8" applyFill="1" applyBorder="1"/>
    <xf numFmtId="0" fontId="3" fillId="15" borderId="5" xfId="8" applyFill="1" applyBorder="1" applyAlignment="1">
      <alignment horizontal="center"/>
    </xf>
    <xf numFmtId="0" fontId="3" fillId="11" borderId="5" xfId="8" applyFill="1" applyBorder="1" applyAlignment="1">
      <alignment horizontal="center"/>
    </xf>
    <xf numFmtId="0" fontId="3" fillId="15" borderId="5" xfId="8" applyFill="1" applyBorder="1"/>
    <xf numFmtId="0" fontId="3" fillId="21" borderId="5" xfId="8" applyFill="1" applyBorder="1" applyAlignment="1">
      <alignment horizontal="center"/>
    </xf>
    <xf numFmtId="0" fontId="3" fillId="20" borderId="5" xfId="8" applyFill="1" applyBorder="1" applyAlignment="1">
      <alignment horizontal="center"/>
    </xf>
    <xf numFmtId="0" fontId="3" fillId="19" borderId="5" xfId="8" applyFill="1" applyBorder="1" applyAlignment="1">
      <alignment horizontal="center"/>
    </xf>
    <xf numFmtId="10" fontId="0" fillId="6" borderId="5" xfId="9" applyNumberFormat="1" applyFont="1" applyFill="1" applyBorder="1"/>
    <xf numFmtId="0" fontId="3" fillId="6" borderId="0" xfId="8" applyFill="1" applyAlignment="1">
      <alignment horizontal="center" vertical="center"/>
    </xf>
    <xf numFmtId="0" fontId="10" fillId="7" borderId="12" xfId="8" applyFont="1" applyFill="1" applyBorder="1"/>
    <xf numFmtId="166" fontId="3" fillId="7" borderId="5" xfId="8" applyNumberFormat="1" applyFill="1" applyBorder="1"/>
    <xf numFmtId="166" fontId="3" fillId="2" borderId="14" xfId="2" applyFont="1" applyFill="1" applyBorder="1"/>
    <xf numFmtId="173" fontId="3" fillId="2" borderId="4" xfId="8" applyNumberFormat="1" applyFill="1" applyBorder="1"/>
    <xf numFmtId="166" fontId="3" fillId="2" borderId="2" xfId="2" applyFont="1" applyFill="1" applyBorder="1"/>
    <xf numFmtId="166" fontId="3" fillId="2" borderId="1" xfId="2" applyFont="1" applyFill="1" applyBorder="1"/>
    <xf numFmtId="173" fontId="3" fillId="2" borderId="5" xfId="8" applyNumberFormat="1" applyFill="1" applyBorder="1"/>
    <xf numFmtId="173" fontId="3" fillId="2" borderId="0" xfId="8" applyNumberFormat="1" applyFill="1"/>
    <xf numFmtId="0" fontId="21" fillId="11" borderId="0" xfId="8" applyFont="1" applyFill="1"/>
    <xf numFmtId="0" fontId="10" fillId="11" borderId="0" xfId="8" applyFont="1" applyFill="1"/>
    <xf numFmtId="166" fontId="10" fillId="11" borderId="0" xfId="2" applyFont="1" applyFill="1"/>
    <xf numFmtId="165" fontId="10" fillId="11" borderId="0" xfId="8" applyNumberFormat="1" applyFont="1" applyFill="1"/>
    <xf numFmtId="0" fontId="14" fillId="7" borderId="0" xfId="8" applyFont="1" applyFill="1"/>
    <xf numFmtId="165" fontId="3" fillId="11" borderId="4" xfId="8" applyNumberFormat="1" applyFill="1" applyBorder="1"/>
    <xf numFmtId="10" fontId="0" fillId="2" borderId="9" xfId="5" applyNumberFormat="1" applyFont="1" applyFill="1" applyBorder="1" applyAlignment="1">
      <alignment horizontal="center"/>
    </xf>
    <xf numFmtId="10" fontId="0" fillId="2" borderId="0" xfId="5" applyNumberFormat="1" applyFont="1" applyFill="1" applyBorder="1" applyAlignment="1">
      <alignment horizontal="center"/>
    </xf>
    <xf numFmtId="168" fontId="3" fillId="2" borderId="0" xfId="8" applyNumberFormat="1" applyFill="1"/>
    <xf numFmtId="170" fontId="3" fillId="2" borderId="0" xfId="5" applyNumberFormat="1" applyFill="1" applyBorder="1"/>
    <xf numFmtId="9" fontId="0" fillId="2" borderId="4" xfId="9" applyFont="1" applyFill="1" applyBorder="1" applyAlignment="1">
      <alignment horizontal="center"/>
    </xf>
    <xf numFmtId="0" fontId="5" fillId="2" borderId="5" xfId="8" applyFont="1" applyFill="1" applyBorder="1" applyAlignment="1">
      <alignment horizontal="center"/>
    </xf>
    <xf numFmtId="187" fontId="5" fillId="2" borderId="5" xfId="9" applyNumberFormat="1" applyFont="1" applyFill="1" applyBorder="1" applyAlignment="1">
      <alignment horizontal="center"/>
    </xf>
    <xf numFmtId="187" fontId="3" fillId="6" borderId="0" xfId="5" applyNumberFormat="1" applyFont="1" applyFill="1"/>
    <xf numFmtId="168" fontId="3" fillId="6" borderId="0" xfId="8" applyNumberFormat="1" applyFill="1"/>
    <xf numFmtId="168" fontId="3" fillId="15" borderId="0" xfId="8" applyNumberFormat="1" applyFill="1"/>
    <xf numFmtId="188" fontId="3" fillId="6" borderId="0" xfId="8" applyNumberFormat="1" applyFill="1"/>
    <xf numFmtId="0" fontId="3" fillId="2" borderId="8" xfId="8" applyFill="1" applyBorder="1"/>
    <xf numFmtId="189" fontId="3" fillId="2" borderId="0" xfId="8" applyNumberFormat="1" applyFill="1"/>
    <xf numFmtId="188" fontId="3" fillId="2" borderId="0" xfId="8" applyNumberFormat="1" applyFill="1"/>
    <xf numFmtId="174" fontId="3" fillId="7" borderId="0" xfId="8" applyNumberFormat="1" applyFill="1"/>
    <xf numFmtId="171" fontId="3" fillId="9" borderId="0" xfId="5" applyNumberFormat="1" applyFill="1"/>
    <xf numFmtId="0" fontId="5" fillId="2" borderId="0" xfId="8" applyFont="1" applyFill="1"/>
    <xf numFmtId="168" fontId="3" fillId="15" borderId="6" xfId="8" applyNumberFormat="1" applyFill="1" applyBorder="1" applyAlignment="1">
      <alignment horizontal="center"/>
    </xf>
    <xf numFmtId="190" fontId="3" fillId="2" borderId="0" xfId="8" applyNumberFormat="1" applyFill="1"/>
    <xf numFmtId="171" fontId="5" fillId="2" borderId="5" xfId="9" applyNumberFormat="1" applyFont="1" applyFill="1" applyBorder="1" applyAlignment="1">
      <alignment horizontal="center"/>
    </xf>
    <xf numFmtId="168" fontId="3" fillId="6" borderId="5" xfId="8" applyNumberFormat="1" applyFill="1" applyBorder="1"/>
    <xf numFmtId="168" fontId="3" fillId="7" borderId="0" xfId="8" applyNumberFormat="1" applyFill="1"/>
    <xf numFmtId="0" fontId="3" fillId="0" borderId="0" xfId="8"/>
    <xf numFmtId="10" fontId="3" fillId="2" borderId="0" xfId="5" applyNumberFormat="1" applyFont="1" applyFill="1" applyBorder="1" applyAlignment="1">
      <alignment horizontal="center"/>
    </xf>
    <xf numFmtId="10" fontId="3" fillId="2" borderId="0" xfId="8" applyNumberFormat="1" applyFill="1"/>
    <xf numFmtId="166" fontId="3" fillId="2" borderId="5" xfId="2" applyFill="1" applyBorder="1" applyAlignment="1">
      <alignment horizontal="center"/>
    </xf>
    <xf numFmtId="176" fontId="0" fillId="2" borderId="5" xfId="2" applyNumberFormat="1" applyFont="1" applyFill="1" applyBorder="1"/>
    <xf numFmtId="165" fontId="3" fillId="2" borderId="5" xfId="8" applyNumberFormat="1" applyFill="1" applyBorder="1" applyAlignment="1">
      <alignment horizontal="center"/>
    </xf>
    <xf numFmtId="0" fontId="3" fillId="6" borderId="21" xfId="8" applyFill="1" applyBorder="1"/>
    <xf numFmtId="0" fontId="3" fillId="7" borderId="48" xfId="8" applyFill="1" applyBorder="1"/>
    <xf numFmtId="170" fontId="3" fillId="7" borderId="5" xfId="5" applyNumberFormat="1" applyFill="1" applyBorder="1"/>
    <xf numFmtId="0" fontId="3" fillId="6" borderId="20" xfId="8" applyFill="1" applyBorder="1"/>
    <xf numFmtId="0" fontId="3" fillId="9" borderId="48" xfId="8" applyFill="1" applyBorder="1"/>
    <xf numFmtId="166" fontId="3" fillId="9" borderId="5" xfId="2" applyFill="1" applyBorder="1"/>
    <xf numFmtId="170" fontId="3" fillId="9" borderId="5" xfId="5" applyNumberFormat="1" applyFill="1" applyBorder="1"/>
    <xf numFmtId="165" fontId="3" fillId="9" borderId="5" xfId="8" applyNumberFormat="1" applyFill="1" applyBorder="1"/>
    <xf numFmtId="0" fontId="3" fillId="6" borderId="48" xfId="8" applyFill="1" applyBorder="1"/>
    <xf numFmtId="0" fontId="3" fillId="6" borderId="22" xfId="8" applyFill="1" applyBorder="1"/>
    <xf numFmtId="0" fontId="3" fillId="6" borderId="23" xfId="8" applyFill="1" applyBorder="1"/>
    <xf numFmtId="0" fontId="3" fillId="6" borderId="24" xfId="8" applyFill="1" applyBorder="1"/>
    <xf numFmtId="0" fontId="3" fillId="6" borderId="6" xfId="12" applyFill="1" applyBorder="1" applyAlignment="1">
      <alignment horizontal="center" vertical="center"/>
    </xf>
    <xf numFmtId="0" fontId="3" fillId="6" borderId="0" xfId="12" applyFill="1"/>
    <xf numFmtId="0" fontId="3" fillId="6" borderId="5" xfId="12" applyFill="1" applyBorder="1"/>
    <xf numFmtId="0" fontId="3" fillId="6" borderId="3" xfId="12" applyFill="1" applyBorder="1" applyAlignment="1">
      <alignment horizontal="center" vertical="center"/>
    </xf>
    <xf numFmtId="0" fontId="3" fillId="6" borderId="13" xfId="12" applyFill="1" applyBorder="1" applyAlignment="1">
      <alignment horizontal="center" vertical="center"/>
    </xf>
    <xf numFmtId="0" fontId="3" fillId="6" borderId="14" xfId="12" applyFill="1" applyBorder="1" applyAlignment="1">
      <alignment horizontal="center"/>
    </xf>
    <xf numFmtId="0" fontId="3" fillId="6" borderId="5" xfId="12" applyFill="1" applyBorder="1" applyAlignment="1">
      <alignment horizontal="center"/>
    </xf>
    <xf numFmtId="0" fontId="3" fillId="6" borderId="6" xfId="12" applyFill="1" applyBorder="1"/>
    <xf numFmtId="0" fontId="3" fillId="6" borderId="11" xfId="12" applyFill="1" applyBorder="1" applyAlignment="1">
      <alignment horizontal="center"/>
    </xf>
    <xf numFmtId="0" fontId="3" fillId="6" borderId="15" xfId="12" applyFill="1" applyBorder="1" applyAlignment="1">
      <alignment horizontal="center"/>
    </xf>
    <xf numFmtId="0" fontId="3" fillId="6" borderId="4" xfId="12" applyFill="1" applyBorder="1" applyAlignment="1">
      <alignment horizontal="center" vertical="center"/>
    </xf>
    <xf numFmtId="0" fontId="3" fillId="6" borderId="0" xfId="12" applyFill="1" applyAlignment="1">
      <alignment horizontal="center"/>
    </xf>
    <xf numFmtId="0" fontId="3" fillId="6" borderId="6" xfId="12" applyFill="1" applyBorder="1" applyAlignment="1">
      <alignment horizontal="center"/>
    </xf>
    <xf numFmtId="0" fontId="10" fillId="6" borderId="14" xfId="12" applyFont="1" applyFill="1" applyBorder="1" applyAlignment="1">
      <alignment horizontal="center"/>
    </xf>
    <xf numFmtId="0" fontId="3" fillId="6" borderId="12" xfId="12" applyFill="1" applyBorder="1" applyAlignment="1">
      <alignment horizontal="center"/>
    </xf>
    <xf numFmtId="0" fontId="3" fillId="6" borderId="4" xfId="12" applyFill="1" applyBorder="1" applyAlignment="1">
      <alignment horizontal="center"/>
    </xf>
    <xf numFmtId="0" fontId="3" fillId="6" borderId="2" xfId="12" applyFill="1" applyBorder="1" applyAlignment="1">
      <alignment horizontal="center"/>
    </xf>
    <xf numFmtId="0" fontId="10" fillId="6" borderId="2" xfId="12" applyFont="1" applyFill="1" applyBorder="1" applyAlignment="1">
      <alignment horizontal="center"/>
    </xf>
    <xf numFmtId="166" fontId="3" fillId="6" borderId="0" xfId="12" applyNumberFormat="1" applyFill="1"/>
    <xf numFmtId="9" fontId="3" fillId="6" borderId="0" xfId="12" applyNumberFormat="1" applyFill="1"/>
    <xf numFmtId="0" fontId="3" fillId="6" borderId="1" xfId="12" applyFill="1" applyBorder="1" applyAlignment="1">
      <alignment horizontal="center"/>
    </xf>
    <xf numFmtId="0" fontId="3" fillId="6" borderId="9" xfId="12" applyFill="1" applyBorder="1" applyAlignment="1">
      <alignment horizontal="center"/>
    </xf>
    <xf numFmtId="0" fontId="3" fillId="6" borderId="4" xfId="12" applyFill="1" applyBorder="1"/>
    <xf numFmtId="0" fontId="3" fillId="7" borderId="5" xfId="12" applyFill="1" applyBorder="1" applyAlignment="1">
      <alignment horizontal="center"/>
    </xf>
    <xf numFmtId="165" fontId="3" fillId="6" borderId="0" xfId="12" applyNumberFormat="1" applyFill="1"/>
    <xf numFmtId="0" fontId="3" fillId="6" borderId="3" xfId="12" applyFill="1" applyBorder="1" applyAlignment="1">
      <alignment horizontal="center"/>
    </xf>
    <xf numFmtId="0" fontId="3" fillId="6" borderId="10" xfId="12" applyFill="1" applyBorder="1" applyAlignment="1">
      <alignment horizontal="center"/>
    </xf>
    <xf numFmtId="0" fontId="10" fillId="6" borderId="1" xfId="12" applyFont="1" applyFill="1" applyBorder="1" applyAlignment="1">
      <alignment horizontal="center"/>
    </xf>
    <xf numFmtId="166" fontId="0" fillId="2" borderId="5" xfId="2" applyFont="1" applyFill="1" applyBorder="1"/>
    <xf numFmtId="10" fontId="0" fillId="6" borderId="5" xfId="5" applyNumberFormat="1" applyFont="1" applyFill="1" applyBorder="1"/>
    <xf numFmtId="10" fontId="0" fillId="2" borderId="5" xfId="5" applyNumberFormat="1" applyFont="1" applyFill="1" applyBorder="1"/>
    <xf numFmtId="166" fontId="0" fillId="8" borderId="5" xfId="2" applyFont="1" applyFill="1" applyBorder="1"/>
    <xf numFmtId="180" fontId="3" fillId="6" borderId="0" xfId="8" applyNumberFormat="1" applyFill="1" applyAlignment="1">
      <alignment horizontal="center"/>
    </xf>
    <xf numFmtId="180" fontId="3" fillId="6" borderId="0" xfId="8" applyNumberFormat="1" applyFill="1"/>
    <xf numFmtId="0" fontId="3" fillId="9" borderId="0" xfId="8" applyFill="1" applyAlignment="1">
      <alignment horizontal="center"/>
    </xf>
    <xf numFmtId="0" fontId="3" fillId="8" borderId="0" xfId="8" applyFill="1" applyAlignment="1">
      <alignment horizontal="center"/>
    </xf>
    <xf numFmtId="166" fontId="3" fillId="6" borderId="5" xfId="2" applyFill="1" applyBorder="1" applyAlignment="1">
      <alignment horizontal="center"/>
    </xf>
    <xf numFmtId="166" fontId="3" fillId="6" borderId="3" xfId="2" applyFill="1" applyBorder="1" applyAlignment="1">
      <alignment horizontal="center"/>
    </xf>
    <xf numFmtId="165" fontId="14" fillId="6" borderId="5" xfId="8" applyNumberFormat="1" applyFont="1" applyFill="1" applyBorder="1"/>
    <xf numFmtId="0" fontId="22" fillId="2" borderId="5" xfId="8" applyFont="1" applyFill="1" applyBorder="1" applyAlignment="1">
      <alignment horizontal="center"/>
    </xf>
    <xf numFmtId="0" fontId="22" fillId="6" borderId="0" xfId="8" applyFont="1" applyFill="1"/>
    <xf numFmtId="0" fontId="3" fillId="2" borderId="17" xfId="8" applyFill="1" applyBorder="1"/>
    <xf numFmtId="0" fontId="3" fillId="2" borderId="18" xfId="8" applyFill="1" applyBorder="1"/>
    <xf numFmtId="0" fontId="3" fillId="2" borderId="20" xfId="8" applyFill="1" applyBorder="1"/>
    <xf numFmtId="0" fontId="3" fillId="2" borderId="22" xfId="8" applyFill="1" applyBorder="1"/>
    <xf numFmtId="0" fontId="3" fillId="2" borderId="23" xfId="8" applyFill="1" applyBorder="1"/>
    <xf numFmtId="0" fontId="3" fillId="6" borderId="18" xfId="8" applyFill="1" applyBorder="1"/>
    <xf numFmtId="166" fontId="0" fillId="2" borderId="0" xfId="2" applyFont="1" applyFill="1" applyBorder="1"/>
    <xf numFmtId="10" fontId="0" fillId="6" borderId="0" xfId="5" applyNumberFormat="1" applyFont="1" applyFill="1" applyBorder="1"/>
    <xf numFmtId="10" fontId="0" fillId="2" borderId="0" xfId="5" applyNumberFormat="1" applyFont="1" applyFill="1" applyBorder="1"/>
    <xf numFmtId="0" fontId="3" fillId="6" borderId="20" xfId="8" applyFill="1" applyBorder="1" applyAlignment="1">
      <alignment horizontal="center"/>
    </xf>
    <xf numFmtId="166" fontId="0" fillId="6" borderId="0" xfId="2" applyFont="1" applyFill="1" applyBorder="1"/>
    <xf numFmtId="0" fontId="10" fillId="7" borderId="0" xfId="2" applyNumberFormat="1" applyFont="1" applyFill="1" applyBorder="1"/>
    <xf numFmtId="0" fontId="15" fillId="2" borderId="0" xfId="11" applyFill="1" applyBorder="1"/>
    <xf numFmtId="166" fontId="0" fillId="6" borderId="5" xfId="2" applyFont="1" applyFill="1" applyBorder="1"/>
    <xf numFmtId="0" fontId="3" fillId="7" borderId="13" xfId="8" applyFill="1" applyBorder="1"/>
    <xf numFmtId="0" fontId="3" fillId="7" borderId="10" xfId="8" applyFill="1" applyBorder="1"/>
    <xf numFmtId="0" fontId="3" fillId="7" borderId="1" xfId="8" applyFill="1" applyBorder="1"/>
    <xf numFmtId="0" fontId="15" fillId="6" borderId="0" xfId="11" applyFill="1" applyAlignment="1">
      <alignment horizontal="center"/>
    </xf>
    <xf numFmtId="191" fontId="3" fillId="2" borderId="0" xfId="8" applyNumberFormat="1" applyFill="1"/>
    <xf numFmtId="9" fontId="10" fillId="7" borderId="5" xfId="5" applyFont="1" applyFill="1" applyBorder="1"/>
    <xf numFmtId="0" fontId="3" fillId="13" borderId="5" xfId="8" applyFill="1" applyBorder="1" applyAlignment="1">
      <alignment horizontal="center"/>
    </xf>
    <xf numFmtId="0" fontId="14" fillId="6" borderId="5" xfId="8" applyFont="1" applyFill="1" applyBorder="1"/>
    <xf numFmtId="165" fontId="3" fillId="6" borderId="0" xfId="8" applyNumberFormat="1" applyFill="1" applyAlignment="1">
      <alignment horizontal="center"/>
    </xf>
    <xf numFmtId="0" fontId="14" fillId="7" borderId="5" xfId="8" applyFont="1" applyFill="1" applyBorder="1"/>
    <xf numFmtId="0" fontId="3" fillId="6" borderId="0" xfId="5" applyNumberFormat="1" applyFill="1" applyBorder="1"/>
    <xf numFmtId="171" fontId="3" fillId="6" borderId="0" xfId="5" applyNumberFormat="1" applyFill="1" applyBorder="1"/>
    <xf numFmtId="166" fontId="3" fillId="6" borderId="5" xfId="2" applyFill="1" applyBorder="1"/>
    <xf numFmtId="10" fontId="3" fillId="2" borderId="5" xfId="5" applyNumberFormat="1" applyFont="1" applyFill="1" applyBorder="1"/>
    <xf numFmtId="10" fontId="3" fillId="6" borderId="5" xfId="5" applyNumberFormat="1" applyFont="1" applyFill="1" applyBorder="1"/>
    <xf numFmtId="165" fontId="23" fillId="7" borderId="0" xfId="8" applyNumberFormat="1" applyFont="1" applyFill="1"/>
    <xf numFmtId="171" fontId="3" fillId="6" borderId="5" xfId="8" applyNumberFormat="1" applyFill="1" applyBorder="1"/>
    <xf numFmtId="0" fontId="3" fillId="7" borderId="6" xfId="5" applyNumberFormat="1" applyFill="1" applyBorder="1" applyAlignment="1">
      <alignment horizontal="center"/>
    </xf>
    <xf numFmtId="171" fontId="3" fillId="7" borderId="14" xfId="5" applyNumberFormat="1" applyFill="1" applyBorder="1" applyAlignment="1">
      <alignment horizontal="center"/>
    </xf>
    <xf numFmtId="0" fontId="3" fillId="7" borderId="4" xfId="5" applyNumberFormat="1" applyFill="1" applyBorder="1" applyAlignment="1">
      <alignment horizontal="center"/>
    </xf>
    <xf numFmtId="171" fontId="3" fillId="7" borderId="2" xfId="5" applyNumberFormat="1" applyFill="1" applyBorder="1" applyAlignment="1">
      <alignment horizontal="center"/>
    </xf>
    <xf numFmtId="0" fontId="3" fillId="7" borderId="3" xfId="5" applyNumberFormat="1" applyFill="1" applyBorder="1" applyAlignment="1">
      <alignment horizontal="center"/>
    </xf>
    <xf numFmtId="171" fontId="3" fillId="7" borderId="1" xfId="5" applyNumberFormat="1" applyFill="1" applyBorder="1" applyAlignment="1">
      <alignment horizontal="center"/>
    </xf>
    <xf numFmtId="0" fontId="24" fillId="6" borderId="0" xfId="8" applyFont="1" applyFill="1"/>
    <xf numFmtId="0" fontId="3" fillId="6" borderId="5" xfId="8" applyFill="1" applyBorder="1" applyAlignment="1">
      <alignment horizontal="center" vertical="top"/>
    </xf>
    <xf numFmtId="165" fontId="3" fillId="7" borderId="0" xfId="8" applyNumberFormat="1" applyFill="1"/>
    <xf numFmtId="0" fontId="3" fillId="6" borderId="5" xfId="8" applyFill="1" applyBorder="1" applyAlignment="1">
      <alignment horizontal="center"/>
    </xf>
    <xf numFmtId="0" fontId="3" fillId="2" borderId="5" xfId="8" applyFill="1" applyBorder="1" applyAlignment="1">
      <alignment horizontal="center"/>
    </xf>
    <xf numFmtId="16" fontId="3" fillId="2" borderId="6" xfId="8" applyNumberFormat="1" applyFill="1" applyBorder="1" applyAlignment="1">
      <alignment horizontal="center" vertical="center"/>
    </xf>
    <xf numFmtId="16" fontId="3" fillId="2" borderId="4" xfId="8" applyNumberFormat="1" applyFill="1" applyBorder="1" applyAlignment="1">
      <alignment horizontal="center" vertical="center"/>
    </xf>
    <xf numFmtId="16" fontId="3" fillId="2" borderId="3" xfId="8" applyNumberFormat="1" applyFill="1" applyBorder="1" applyAlignment="1">
      <alignment horizontal="center" vertical="center"/>
    </xf>
    <xf numFmtId="0" fontId="3" fillId="14" borderId="35" xfId="8" applyFill="1" applyBorder="1" applyAlignment="1">
      <alignment horizontal="center"/>
    </xf>
    <xf numFmtId="0" fontId="3" fillId="14" borderId="28" xfId="8" applyFill="1" applyBorder="1" applyAlignment="1">
      <alignment horizontal="center" vertical="center"/>
    </xf>
    <xf numFmtId="0" fontId="3" fillId="14" borderId="31" xfId="8" applyFill="1" applyBorder="1" applyAlignment="1">
      <alignment horizontal="center" vertical="center"/>
    </xf>
    <xf numFmtId="0" fontId="3" fillId="14" borderId="29" xfId="8" applyFill="1" applyBorder="1" applyAlignment="1">
      <alignment horizontal="center"/>
    </xf>
    <xf numFmtId="0" fontId="3" fillId="14" borderId="30" xfId="8" applyFill="1" applyBorder="1" applyAlignment="1">
      <alignment horizontal="center"/>
    </xf>
    <xf numFmtId="0" fontId="3" fillId="2" borderId="2" xfId="8" applyFill="1" applyBorder="1" applyAlignment="1">
      <alignment horizontal="center" vertical="center"/>
    </xf>
    <xf numFmtId="0" fontId="3" fillId="2" borderId="3" xfId="8" applyFill="1" applyBorder="1" applyAlignment="1">
      <alignment horizontal="center"/>
    </xf>
    <xf numFmtId="0" fontId="3" fillId="6" borderId="6" xfId="8" applyFill="1" applyBorder="1" applyAlignment="1">
      <alignment horizontal="center" vertical="center"/>
    </xf>
    <xf numFmtId="0" fontId="3" fillId="6" borderId="4" xfId="8" applyFill="1" applyBorder="1" applyAlignment="1">
      <alignment horizontal="center" vertical="center"/>
    </xf>
    <xf numFmtId="0" fontId="3" fillId="6" borderId="3" xfId="8" applyFill="1" applyBorder="1" applyAlignment="1">
      <alignment horizontal="center" vertical="center"/>
    </xf>
    <xf numFmtId="0" fontId="3" fillId="6" borderId="15" xfId="8" applyFill="1" applyBorder="1" applyAlignment="1">
      <alignment horizontal="center"/>
    </xf>
    <xf numFmtId="0" fontId="3" fillId="6" borderId="14" xfId="8" applyFill="1" applyBorder="1" applyAlignment="1">
      <alignment horizontal="center"/>
    </xf>
    <xf numFmtId="9" fontId="3" fillId="6" borderId="8" xfId="8" applyNumberFormat="1" applyFill="1" applyBorder="1" applyAlignment="1">
      <alignment horizontal="center"/>
    </xf>
    <xf numFmtId="9" fontId="3" fillId="6" borderId="9" xfId="8" applyNumberFormat="1" applyFill="1" applyBorder="1" applyAlignment="1">
      <alignment horizontal="center"/>
    </xf>
    <xf numFmtId="0" fontId="3" fillId="6" borderId="8" xfId="8" applyFill="1" applyBorder="1" applyAlignment="1">
      <alignment horizontal="center"/>
    </xf>
    <xf numFmtId="0" fontId="3" fillId="6" borderId="9" xfId="8" applyFill="1" applyBorder="1" applyAlignment="1">
      <alignment horizontal="center"/>
    </xf>
    <xf numFmtId="0" fontId="3" fillId="6" borderId="5" xfId="8" applyFill="1" applyBorder="1" applyAlignment="1">
      <alignment horizontal="center" vertical="center"/>
    </xf>
    <xf numFmtId="0" fontId="3" fillId="6" borderId="11" xfId="8" applyFill="1" applyBorder="1" applyAlignment="1">
      <alignment horizontal="center" vertical="center"/>
    </xf>
    <xf numFmtId="0" fontId="3" fillId="6" borderId="13" xfId="8" applyFill="1" applyBorder="1" applyAlignment="1">
      <alignment horizontal="center" vertical="center"/>
    </xf>
    <xf numFmtId="15" fontId="3" fillId="6" borderId="3" xfId="8" applyNumberFormat="1" applyFill="1" applyBorder="1" applyAlignment="1">
      <alignment horizontal="center"/>
    </xf>
    <xf numFmtId="0" fontId="3" fillId="6" borderId="3" xfId="8" applyFill="1" applyBorder="1" applyAlignment="1">
      <alignment horizontal="center"/>
    </xf>
    <xf numFmtId="15" fontId="3" fillId="6" borderId="5" xfId="8" applyNumberFormat="1" applyFill="1" applyBorder="1" applyAlignment="1">
      <alignment horizontal="center"/>
    </xf>
    <xf numFmtId="0" fontId="3" fillId="6" borderId="7" xfId="8" applyFill="1" applyBorder="1" applyAlignment="1">
      <alignment horizontal="center"/>
    </xf>
    <xf numFmtId="0" fontId="3" fillId="7" borderId="11" xfId="8" applyFill="1" applyBorder="1" applyAlignment="1">
      <alignment horizontal="center"/>
    </xf>
    <xf numFmtId="0" fontId="3" fillId="7" borderId="15" xfId="8" applyFill="1" applyBorder="1" applyAlignment="1">
      <alignment horizontal="center"/>
    </xf>
    <xf numFmtId="0" fontId="3" fillId="7" borderId="14" xfId="8" applyFill="1" applyBorder="1" applyAlignment="1">
      <alignment horizontal="center"/>
    </xf>
    <xf numFmtId="0" fontId="3" fillId="2" borderId="6" xfId="8" applyFill="1" applyBorder="1" applyAlignment="1">
      <alignment horizontal="center" vertical="center"/>
    </xf>
    <xf numFmtId="0" fontId="3" fillId="2" borderId="4" xfId="8" applyFill="1" applyBorder="1" applyAlignment="1">
      <alignment horizontal="center" vertical="center"/>
    </xf>
    <xf numFmtId="0" fontId="3" fillId="2" borderId="3" xfId="8" applyFill="1" applyBorder="1" applyAlignment="1">
      <alignment horizontal="center" vertical="center"/>
    </xf>
    <xf numFmtId="0" fontId="3" fillId="7" borderId="6" xfId="8" applyFill="1" applyBorder="1" applyAlignment="1">
      <alignment horizontal="center" vertical="center"/>
    </xf>
    <xf numFmtId="0" fontId="3" fillId="7" borderId="4" xfId="8" applyFill="1" applyBorder="1" applyAlignment="1">
      <alignment horizontal="center" vertical="center"/>
    </xf>
    <xf numFmtId="0" fontId="3" fillId="9" borderId="6" xfId="8" applyFill="1" applyBorder="1" applyAlignment="1">
      <alignment horizontal="center" vertical="center"/>
    </xf>
    <xf numFmtId="0" fontId="3" fillId="9" borderId="3" xfId="8" applyFill="1" applyBorder="1" applyAlignment="1">
      <alignment horizontal="center" vertical="center"/>
    </xf>
    <xf numFmtId="0" fontId="2" fillId="6" borderId="6" xfId="14" applyFill="1" applyBorder="1" applyAlignment="1">
      <alignment horizontal="center" vertical="center"/>
    </xf>
    <xf numFmtId="0" fontId="2" fillId="6" borderId="4" xfId="14" applyFill="1" applyBorder="1" applyAlignment="1">
      <alignment horizontal="center" vertical="center"/>
    </xf>
    <xf numFmtId="0" fontId="2" fillId="6" borderId="3" xfId="14" applyFill="1" applyBorder="1" applyAlignment="1">
      <alignment horizontal="center" vertical="center"/>
    </xf>
    <xf numFmtId="0" fontId="2" fillId="7" borderId="7" xfId="14" applyFill="1" applyBorder="1" applyAlignment="1">
      <alignment horizontal="center"/>
    </xf>
    <xf numFmtId="0" fontId="2" fillId="7" borderId="9" xfId="14" applyFill="1" applyBorder="1" applyAlignment="1">
      <alignment horizontal="center"/>
    </xf>
    <xf numFmtId="0" fontId="2" fillId="6" borderId="5" xfId="14" applyFill="1" applyBorder="1" applyAlignment="1">
      <alignment horizontal="center"/>
    </xf>
    <xf numFmtId="0" fontId="2" fillId="6" borderId="7" xfId="14" applyFill="1" applyBorder="1" applyAlignment="1">
      <alignment horizontal="center"/>
    </xf>
    <xf numFmtId="0" fontId="2" fillId="6" borderId="8" xfId="14" applyFill="1" applyBorder="1" applyAlignment="1">
      <alignment horizontal="center"/>
    </xf>
    <xf numFmtId="0" fontId="2" fillId="6" borderId="9" xfId="14" applyFill="1" applyBorder="1" applyAlignment="1">
      <alignment horizontal="center"/>
    </xf>
    <xf numFmtId="0" fontId="14" fillId="2" borderId="7" xfId="8" applyFont="1" applyFill="1" applyBorder="1" applyAlignment="1">
      <alignment horizontal="center"/>
    </xf>
    <xf numFmtId="0" fontId="14" fillId="2" borderId="8" xfId="8" applyFont="1" applyFill="1" applyBorder="1" applyAlignment="1">
      <alignment horizontal="center"/>
    </xf>
    <xf numFmtId="0" fontId="14" fillId="2" borderId="9" xfId="8" applyFont="1" applyFill="1" applyBorder="1" applyAlignment="1">
      <alignment horizontal="center"/>
    </xf>
    <xf numFmtId="0" fontId="3" fillId="7" borderId="47" xfId="8" applyFill="1" applyBorder="1" applyAlignment="1">
      <alignment horizontal="center"/>
    </xf>
    <xf numFmtId="0" fontId="3" fillId="7" borderId="9" xfId="8" applyFill="1" applyBorder="1" applyAlignment="1">
      <alignment horizontal="center"/>
    </xf>
    <xf numFmtId="0" fontId="3" fillId="9" borderId="47" xfId="8" applyFill="1" applyBorder="1" applyAlignment="1">
      <alignment horizontal="center"/>
    </xf>
    <xf numFmtId="0" fontId="3" fillId="9" borderId="9" xfId="8" applyFill="1" applyBorder="1" applyAlignment="1">
      <alignment horizontal="center"/>
    </xf>
    <xf numFmtId="0" fontId="4" fillId="2" borderId="5" xfId="8" applyFont="1" applyFill="1" applyBorder="1" applyAlignment="1">
      <alignment horizontal="center"/>
    </xf>
    <xf numFmtId="0" fontId="3" fillId="6" borderId="11" xfId="8" applyFill="1" applyBorder="1" applyAlignment="1">
      <alignment horizontal="center"/>
    </xf>
    <xf numFmtId="9" fontId="3" fillId="6" borderId="7" xfId="8" applyNumberFormat="1" applyFill="1" applyBorder="1" applyAlignment="1">
      <alignment horizontal="center"/>
    </xf>
    <xf numFmtId="0" fontId="3" fillId="6" borderId="6" xfId="12" applyFill="1" applyBorder="1" applyAlignment="1">
      <alignment horizontal="center" vertical="center"/>
    </xf>
    <xf numFmtId="0" fontId="3" fillId="6" borderId="3" xfId="12" applyFill="1" applyBorder="1" applyAlignment="1">
      <alignment horizontal="center" vertical="center"/>
    </xf>
    <xf numFmtId="0" fontId="3" fillId="6" borderId="11" xfId="12" applyFill="1" applyBorder="1" applyAlignment="1">
      <alignment horizontal="center" vertical="center"/>
    </xf>
    <xf numFmtId="0" fontId="3" fillId="6" borderId="13" xfId="12" applyFill="1" applyBorder="1" applyAlignment="1">
      <alignment horizontal="center" vertical="center"/>
    </xf>
    <xf numFmtId="0" fontId="3" fillId="6" borderId="7" xfId="12" applyFill="1" applyBorder="1" applyAlignment="1">
      <alignment horizontal="center" vertical="center"/>
    </xf>
    <xf numFmtId="0" fontId="3" fillId="6" borderId="8" xfId="12" applyFill="1" applyBorder="1" applyAlignment="1">
      <alignment horizontal="center" vertical="center"/>
    </xf>
    <xf numFmtId="0" fontId="3" fillId="6" borderId="9" xfId="12" applyFill="1" applyBorder="1" applyAlignment="1">
      <alignment horizontal="center" vertical="center"/>
    </xf>
    <xf numFmtId="0" fontId="3" fillId="6" borderId="4" xfId="12" applyFill="1" applyBorder="1" applyAlignment="1">
      <alignment horizontal="center" vertical="center"/>
    </xf>
    <xf numFmtId="0" fontId="3" fillId="6" borderId="5" xfId="12" applyFill="1" applyBorder="1" applyAlignment="1">
      <alignment horizontal="center"/>
    </xf>
    <xf numFmtId="0" fontId="3" fillId="6" borderId="11" xfId="12" applyFill="1" applyBorder="1" applyAlignment="1">
      <alignment horizontal="center"/>
    </xf>
    <xf numFmtId="0" fontId="3" fillId="6" borderId="15" xfId="12" applyFill="1" applyBorder="1" applyAlignment="1">
      <alignment horizontal="center"/>
    </xf>
    <xf numFmtId="0" fontId="3" fillId="6" borderId="14" xfId="12" applyFill="1" applyBorder="1" applyAlignment="1">
      <alignment horizontal="center"/>
    </xf>
    <xf numFmtId="9" fontId="3" fillId="6" borderId="7" xfId="12" applyNumberFormat="1" applyFill="1" applyBorder="1" applyAlignment="1">
      <alignment horizontal="center"/>
    </xf>
    <xf numFmtId="9" fontId="3" fillId="6" borderId="8" xfId="12" applyNumberFormat="1" applyFill="1" applyBorder="1" applyAlignment="1">
      <alignment horizontal="center"/>
    </xf>
    <xf numFmtId="9" fontId="3" fillId="6" borderId="9" xfId="12" applyNumberFormat="1" applyFill="1" applyBorder="1" applyAlignment="1">
      <alignment horizontal="center"/>
    </xf>
    <xf numFmtId="0" fontId="3" fillId="6" borderId="7" xfId="12" applyFill="1" applyBorder="1" applyAlignment="1">
      <alignment horizontal="center"/>
    </xf>
    <xf numFmtId="0" fontId="3" fillId="6" borderId="8" xfId="12" applyFill="1" applyBorder="1" applyAlignment="1">
      <alignment horizontal="center"/>
    </xf>
    <xf numFmtId="0" fontId="3" fillId="6" borderId="9" xfId="12" applyFill="1" applyBorder="1" applyAlignment="1">
      <alignment horizontal="center"/>
    </xf>
    <xf numFmtId="0" fontId="3" fillId="6" borderId="5" xfId="12" applyFill="1" applyBorder="1" applyAlignment="1">
      <alignment horizontal="center" vertical="center"/>
    </xf>
    <xf numFmtId="0" fontId="3" fillId="2" borderId="10" xfId="8" applyFill="1" applyBorder="1" applyAlignment="1">
      <alignment horizontal="center"/>
    </xf>
    <xf numFmtId="0" fontId="3" fillId="2" borderId="0" xfId="8" applyFill="1" applyAlignment="1">
      <alignment horizontal="center"/>
    </xf>
    <xf numFmtId="0" fontId="3" fillId="6" borderId="6" xfId="8" applyFill="1" applyBorder="1" applyAlignment="1">
      <alignment horizontal="center" vertical="center" wrapText="1"/>
    </xf>
    <xf numFmtId="0" fontId="3" fillId="6" borderId="4" xfId="8" applyFill="1" applyBorder="1" applyAlignment="1">
      <alignment horizontal="center" vertical="center" wrapText="1"/>
    </xf>
    <xf numFmtId="0" fontId="3" fillId="6" borderId="3" xfId="8" applyFill="1" applyBorder="1" applyAlignment="1">
      <alignment horizontal="center" vertical="center" wrapText="1"/>
    </xf>
    <xf numFmtId="0" fontId="3" fillId="6" borderId="14" xfId="8" applyFill="1" applyBorder="1" applyAlignment="1">
      <alignment horizontal="center" vertical="center"/>
    </xf>
    <xf numFmtId="0" fontId="3" fillId="6" borderId="2" xfId="8" applyFill="1" applyBorder="1" applyAlignment="1">
      <alignment horizontal="center" vertical="center"/>
    </xf>
    <xf numFmtId="0" fontId="3" fillId="7" borderId="25" xfId="8" applyFill="1" applyBorder="1" applyAlignment="1">
      <alignment horizontal="center" vertical="center"/>
    </xf>
    <xf numFmtId="0" fontId="3" fillId="7" borderId="26" xfId="8" applyFill="1" applyBorder="1" applyAlignment="1">
      <alignment horizontal="center" vertical="center"/>
    </xf>
    <xf numFmtId="0" fontId="3" fillId="7" borderId="27" xfId="8" applyFill="1" applyBorder="1" applyAlignment="1">
      <alignment horizontal="center" vertical="center"/>
    </xf>
    <xf numFmtId="0" fontId="3" fillId="9" borderId="25" xfId="8" applyFill="1" applyBorder="1" applyAlignment="1">
      <alignment horizontal="center" vertical="center"/>
    </xf>
    <xf numFmtId="0" fontId="3" fillId="9" borderId="26" xfId="8" applyFill="1" applyBorder="1" applyAlignment="1">
      <alignment horizontal="center" vertical="center"/>
    </xf>
    <xf numFmtId="0" fontId="3" fillId="9" borderId="27" xfId="8" applyFill="1" applyBorder="1" applyAlignment="1">
      <alignment horizontal="center" vertical="center"/>
    </xf>
    <xf numFmtId="0" fontId="3" fillId="18" borderId="25" xfId="8" applyFill="1" applyBorder="1" applyAlignment="1">
      <alignment horizontal="center" vertical="center"/>
    </xf>
    <xf numFmtId="0" fontId="3" fillId="18" borderId="26" xfId="8" applyFill="1" applyBorder="1" applyAlignment="1">
      <alignment horizontal="center" vertical="center"/>
    </xf>
    <xf numFmtId="0" fontId="3" fillId="18" borderId="27" xfId="8" applyFill="1" applyBorder="1" applyAlignment="1">
      <alignment horizontal="center" vertical="center"/>
    </xf>
    <xf numFmtId="0" fontId="3" fillId="7" borderId="10" xfId="8" applyFill="1" applyBorder="1" applyAlignment="1">
      <alignment horizontal="center"/>
    </xf>
  </cellXfs>
  <cellStyles count="17">
    <cellStyle name="Currency 2" xfId="3" xr:uid="{00000000-0005-0000-0000-000002000000}"/>
    <cellStyle name="Currency 2 2" xfId="10" xr:uid="{00000000-0005-0000-0000-000003000000}"/>
    <cellStyle name="Currency 2 3" xfId="13" xr:uid="{0EC19B6D-12A1-487A-94B1-D2E6661F9173}"/>
    <cellStyle name="Currency 3" xfId="15" xr:uid="{041C9758-D4DB-4C75-AC1C-30B4F5619B12}"/>
    <cellStyle name="Lien hypertexte" xfId="11" builtinId="8"/>
    <cellStyle name="Milliers" xfId="1" builtinId="3"/>
    <cellStyle name="Monétaire" xfId="2" builtinId="4"/>
    <cellStyle name="Normal" xfId="0" builtinId="0"/>
    <cellStyle name="Normal 2" xfId="4" xr:uid="{00000000-0005-0000-0000-000005000000}"/>
    <cellStyle name="Normal 2 2" xfId="8" xr:uid="{00000000-0005-0000-0000-000006000000}"/>
    <cellStyle name="Normal 3" xfId="12" xr:uid="{C65DA571-FEE6-4B3F-A19A-86D97AE28685}"/>
    <cellStyle name="Normal 4" xfId="14" xr:uid="{BC6D987C-FC56-4532-BAF6-82620B32765F}"/>
    <cellStyle name="Percent 2" xfId="6" xr:uid="{00000000-0005-0000-0000-000008000000}"/>
    <cellStyle name="Percent 2 2" xfId="9" xr:uid="{00000000-0005-0000-0000-000009000000}"/>
    <cellStyle name="Percent 3" xfId="7" xr:uid="{00000000-0005-0000-0000-00000A000000}"/>
    <cellStyle name="Percent 3 2" xfId="16" xr:uid="{1F6AC05D-7482-4944-8E00-1EBE9A9A24DE}"/>
    <cellStyle name="Pourcentage" xfId="5" builtinId="5"/>
  </cellStyles>
  <dxfs count="17">
    <dxf>
      <fill>
        <patternFill>
          <bgColor rgb="FFFFFF00"/>
        </patternFill>
      </fill>
    </dxf>
    <dxf>
      <fill>
        <patternFill>
          <bgColor rgb="FFFFFF00"/>
        </patternFill>
      </fill>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externalLink" Target="externalLinks/externalLink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tx>
            <c:v>Put</c:v>
          </c:tx>
          <c:marker>
            <c:symbol val="none"/>
          </c:marker>
          <c:xVal>
            <c:numRef>
              <c:f>'Slide 27'!$Z$6:$Z$106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27'!$AA$6:$AA$106</c:f>
              <c:numCache>
                <c:formatCode>General</c:formatCode>
                <c:ptCount val="101"/>
                <c:pt idx="0">
                  <c:v>-100</c:v>
                </c:pt>
                <c:pt idx="1">
                  <c:v>-98</c:v>
                </c:pt>
                <c:pt idx="2">
                  <c:v>-96</c:v>
                </c:pt>
                <c:pt idx="3">
                  <c:v>-94</c:v>
                </c:pt>
                <c:pt idx="4">
                  <c:v>-92</c:v>
                </c:pt>
                <c:pt idx="5">
                  <c:v>-90</c:v>
                </c:pt>
                <c:pt idx="6">
                  <c:v>-88</c:v>
                </c:pt>
                <c:pt idx="7">
                  <c:v>-86</c:v>
                </c:pt>
                <c:pt idx="8">
                  <c:v>-84</c:v>
                </c:pt>
                <c:pt idx="9">
                  <c:v>-82</c:v>
                </c:pt>
                <c:pt idx="10">
                  <c:v>-80</c:v>
                </c:pt>
                <c:pt idx="11">
                  <c:v>-78</c:v>
                </c:pt>
                <c:pt idx="12">
                  <c:v>-76</c:v>
                </c:pt>
                <c:pt idx="13">
                  <c:v>-74</c:v>
                </c:pt>
                <c:pt idx="14">
                  <c:v>-72</c:v>
                </c:pt>
                <c:pt idx="15">
                  <c:v>-70</c:v>
                </c:pt>
                <c:pt idx="16">
                  <c:v>-68</c:v>
                </c:pt>
                <c:pt idx="17">
                  <c:v>-66</c:v>
                </c:pt>
                <c:pt idx="18">
                  <c:v>-64</c:v>
                </c:pt>
                <c:pt idx="19">
                  <c:v>-62</c:v>
                </c:pt>
                <c:pt idx="20">
                  <c:v>-60</c:v>
                </c:pt>
                <c:pt idx="21">
                  <c:v>-58</c:v>
                </c:pt>
                <c:pt idx="22">
                  <c:v>-56</c:v>
                </c:pt>
                <c:pt idx="23">
                  <c:v>-54</c:v>
                </c:pt>
                <c:pt idx="24">
                  <c:v>-52</c:v>
                </c:pt>
                <c:pt idx="25">
                  <c:v>-50</c:v>
                </c:pt>
                <c:pt idx="26">
                  <c:v>-48</c:v>
                </c:pt>
                <c:pt idx="27">
                  <c:v>-46</c:v>
                </c:pt>
                <c:pt idx="28">
                  <c:v>-44</c:v>
                </c:pt>
                <c:pt idx="29">
                  <c:v>-42</c:v>
                </c:pt>
                <c:pt idx="30">
                  <c:v>-40</c:v>
                </c:pt>
                <c:pt idx="31">
                  <c:v>-38</c:v>
                </c:pt>
                <c:pt idx="32">
                  <c:v>-36</c:v>
                </c:pt>
                <c:pt idx="33">
                  <c:v>-34</c:v>
                </c:pt>
                <c:pt idx="34">
                  <c:v>-32</c:v>
                </c:pt>
                <c:pt idx="35">
                  <c:v>-30</c:v>
                </c:pt>
                <c:pt idx="36">
                  <c:v>-28</c:v>
                </c:pt>
                <c:pt idx="37">
                  <c:v>-26</c:v>
                </c:pt>
                <c:pt idx="38">
                  <c:v>-24</c:v>
                </c:pt>
                <c:pt idx="39">
                  <c:v>-22</c:v>
                </c:pt>
                <c:pt idx="40">
                  <c:v>-20</c:v>
                </c:pt>
                <c:pt idx="41">
                  <c:v>-18</c:v>
                </c:pt>
                <c:pt idx="42">
                  <c:v>-16</c:v>
                </c:pt>
                <c:pt idx="43">
                  <c:v>-14</c:v>
                </c:pt>
                <c:pt idx="44">
                  <c:v>-12</c:v>
                </c:pt>
                <c:pt idx="45">
                  <c:v>-10</c:v>
                </c:pt>
                <c:pt idx="46">
                  <c:v>-8</c:v>
                </c:pt>
                <c:pt idx="47">
                  <c:v>-6</c:v>
                </c:pt>
                <c:pt idx="48">
                  <c:v>-4</c:v>
                </c:pt>
                <c:pt idx="49">
                  <c:v>-2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yVal>
          <c:smooth val="1"/>
          <c:extLst>
            <c:ext xmlns:c16="http://schemas.microsoft.com/office/drawing/2014/chart" uri="{C3380CC4-5D6E-409C-BE32-E72D297353CC}">
              <c16:uniqueId val="{00000000-1233-43E2-ACB2-3D06AB7375B7}"/>
            </c:ext>
          </c:extLst>
        </c:ser>
        <c:ser>
          <c:idx val="0"/>
          <c:order val="1"/>
          <c:tx>
            <c:v>Call</c:v>
          </c:tx>
          <c:marker>
            <c:symbol val="none"/>
          </c:marker>
          <c:xVal>
            <c:numRef>
              <c:f>'Slide 27'!$Z$6:$Z$106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27'!$AB$6:$AB$106</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2</c:v>
                </c:pt>
                <c:pt idx="52">
                  <c:v>4</c:v>
                </c:pt>
                <c:pt idx="53">
                  <c:v>6</c:v>
                </c:pt>
                <c:pt idx="54">
                  <c:v>8</c:v>
                </c:pt>
                <c:pt idx="55">
                  <c:v>10</c:v>
                </c:pt>
                <c:pt idx="56">
                  <c:v>12</c:v>
                </c:pt>
                <c:pt idx="57">
                  <c:v>14</c:v>
                </c:pt>
                <c:pt idx="58">
                  <c:v>16</c:v>
                </c:pt>
                <c:pt idx="59">
                  <c:v>18</c:v>
                </c:pt>
                <c:pt idx="60">
                  <c:v>20</c:v>
                </c:pt>
                <c:pt idx="61">
                  <c:v>22</c:v>
                </c:pt>
                <c:pt idx="62">
                  <c:v>24</c:v>
                </c:pt>
                <c:pt idx="63">
                  <c:v>26</c:v>
                </c:pt>
                <c:pt idx="64">
                  <c:v>28</c:v>
                </c:pt>
                <c:pt idx="65">
                  <c:v>30</c:v>
                </c:pt>
                <c:pt idx="66">
                  <c:v>32</c:v>
                </c:pt>
                <c:pt idx="67">
                  <c:v>34</c:v>
                </c:pt>
                <c:pt idx="68">
                  <c:v>36</c:v>
                </c:pt>
                <c:pt idx="69">
                  <c:v>38</c:v>
                </c:pt>
                <c:pt idx="70">
                  <c:v>40</c:v>
                </c:pt>
                <c:pt idx="71">
                  <c:v>42</c:v>
                </c:pt>
                <c:pt idx="72">
                  <c:v>44</c:v>
                </c:pt>
                <c:pt idx="73">
                  <c:v>46</c:v>
                </c:pt>
                <c:pt idx="74">
                  <c:v>48</c:v>
                </c:pt>
                <c:pt idx="75">
                  <c:v>50</c:v>
                </c:pt>
                <c:pt idx="76">
                  <c:v>52</c:v>
                </c:pt>
                <c:pt idx="77">
                  <c:v>54</c:v>
                </c:pt>
                <c:pt idx="78">
                  <c:v>56</c:v>
                </c:pt>
                <c:pt idx="79">
                  <c:v>58</c:v>
                </c:pt>
                <c:pt idx="80">
                  <c:v>60</c:v>
                </c:pt>
                <c:pt idx="81">
                  <c:v>62</c:v>
                </c:pt>
                <c:pt idx="82">
                  <c:v>64</c:v>
                </c:pt>
                <c:pt idx="83">
                  <c:v>66</c:v>
                </c:pt>
                <c:pt idx="84">
                  <c:v>68</c:v>
                </c:pt>
                <c:pt idx="85">
                  <c:v>70</c:v>
                </c:pt>
                <c:pt idx="86">
                  <c:v>72</c:v>
                </c:pt>
                <c:pt idx="87">
                  <c:v>74</c:v>
                </c:pt>
                <c:pt idx="88">
                  <c:v>76</c:v>
                </c:pt>
                <c:pt idx="89">
                  <c:v>78</c:v>
                </c:pt>
                <c:pt idx="90">
                  <c:v>80</c:v>
                </c:pt>
                <c:pt idx="91">
                  <c:v>82</c:v>
                </c:pt>
                <c:pt idx="92">
                  <c:v>84</c:v>
                </c:pt>
                <c:pt idx="93">
                  <c:v>86</c:v>
                </c:pt>
                <c:pt idx="94">
                  <c:v>88</c:v>
                </c:pt>
                <c:pt idx="95">
                  <c:v>90</c:v>
                </c:pt>
                <c:pt idx="96">
                  <c:v>92</c:v>
                </c:pt>
                <c:pt idx="97">
                  <c:v>94</c:v>
                </c:pt>
                <c:pt idx="98">
                  <c:v>96</c:v>
                </c:pt>
                <c:pt idx="99">
                  <c:v>98</c:v>
                </c:pt>
                <c:pt idx="100">
                  <c:v>100</c:v>
                </c:pt>
              </c:numCache>
            </c:numRef>
          </c:yVal>
          <c:smooth val="1"/>
          <c:extLst>
            <c:ext xmlns:c16="http://schemas.microsoft.com/office/drawing/2014/chart" uri="{C3380CC4-5D6E-409C-BE32-E72D297353CC}">
              <c16:uniqueId val="{00000001-1233-43E2-ACB2-3D06AB7375B7}"/>
            </c:ext>
          </c:extLst>
        </c:ser>
        <c:ser>
          <c:idx val="1"/>
          <c:order val="2"/>
          <c:tx>
            <c:v>Forward</c:v>
          </c:tx>
          <c:marker>
            <c:symbol val="none"/>
          </c:marker>
          <c:xVal>
            <c:numRef>
              <c:f>'Slide 27'!$Z$6:$Z$106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27'!$AC$6:$AC$106</c:f>
              <c:numCache>
                <c:formatCode>General</c:formatCode>
                <c:ptCount val="101"/>
                <c:pt idx="0">
                  <c:v>-100</c:v>
                </c:pt>
                <c:pt idx="1">
                  <c:v>-98</c:v>
                </c:pt>
                <c:pt idx="2">
                  <c:v>-96</c:v>
                </c:pt>
                <c:pt idx="3">
                  <c:v>-94</c:v>
                </c:pt>
                <c:pt idx="4">
                  <c:v>-92</c:v>
                </c:pt>
                <c:pt idx="5">
                  <c:v>-90</c:v>
                </c:pt>
                <c:pt idx="6">
                  <c:v>-88</c:v>
                </c:pt>
                <c:pt idx="7">
                  <c:v>-86</c:v>
                </c:pt>
                <c:pt idx="8">
                  <c:v>-84</c:v>
                </c:pt>
                <c:pt idx="9">
                  <c:v>-82</c:v>
                </c:pt>
                <c:pt idx="10">
                  <c:v>-80</c:v>
                </c:pt>
                <c:pt idx="11">
                  <c:v>-78</c:v>
                </c:pt>
                <c:pt idx="12">
                  <c:v>-76</c:v>
                </c:pt>
                <c:pt idx="13">
                  <c:v>-74</c:v>
                </c:pt>
                <c:pt idx="14">
                  <c:v>-72</c:v>
                </c:pt>
                <c:pt idx="15">
                  <c:v>-70</c:v>
                </c:pt>
                <c:pt idx="16">
                  <c:v>-68</c:v>
                </c:pt>
                <c:pt idx="17">
                  <c:v>-66</c:v>
                </c:pt>
                <c:pt idx="18">
                  <c:v>-64</c:v>
                </c:pt>
                <c:pt idx="19">
                  <c:v>-62</c:v>
                </c:pt>
                <c:pt idx="20">
                  <c:v>-60</c:v>
                </c:pt>
                <c:pt idx="21">
                  <c:v>-58</c:v>
                </c:pt>
                <c:pt idx="22">
                  <c:v>-56</c:v>
                </c:pt>
                <c:pt idx="23">
                  <c:v>-54</c:v>
                </c:pt>
                <c:pt idx="24">
                  <c:v>-52</c:v>
                </c:pt>
                <c:pt idx="25">
                  <c:v>-50</c:v>
                </c:pt>
                <c:pt idx="26">
                  <c:v>-48</c:v>
                </c:pt>
                <c:pt idx="27">
                  <c:v>-46</c:v>
                </c:pt>
                <c:pt idx="28">
                  <c:v>-44</c:v>
                </c:pt>
                <c:pt idx="29">
                  <c:v>-42</c:v>
                </c:pt>
                <c:pt idx="30">
                  <c:v>-40</c:v>
                </c:pt>
                <c:pt idx="31">
                  <c:v>-38</c:v>
                </c:pt>
                <c:pt idx="32">
                  <c:v>-36</c:v>
                </c:pt>
                <c:pt idx="33">
                  <c:v>-34</c:v>
                </c:pt>
                <c:pt idx="34">
                  <c:v>-32</c:v>
                </c:pt>
                <c:pt idx="35">
                  <c:v>-30</c:v>
                </c:pt>
                <c:pt idx="36">
                  <c:v>-28</c:v>
                </c:pt>
                <c:pt idx="37">
                  <c:v>-26</c:v>
                </c:pt>
                <c:pt idx="38">
                  <c:v>-24</c:v>
                </c:pt>
                <c:pt idx="39">
                  <c:v>-22</c:v>
                </c:pt>
                <c:pt idx="40">
                  <c:v>-20</c:v>
                </c:pt>
                <c:pt idx="41">
                  <c:v>-18</c:v>
                </c:pt>
                <c:pt idx="42">
                  <c:v>-16</c:v>
                </c:pt>
                <c:pt idx="43">
                  <c:v>-14</c:v>
                </c:pt>
                <c:pt idx="44">
                  <c:v>-12</c:v>
                </c:pt>
                <c:pt idx="45">
                  <c:v>-10</c:v>
                </c:pt>
                <c:pt idx="46">
                  <c:v>-8</c:v>
                </c:pt>
                <c:pt idx="47">
                  <c:v>-6</c:v>
                </c:pt>
                <c:pt idx="48">
                  <c:v>-4</c:v>
                </c:pt>
                <c:pt idx="49">
                  <c:v>-2</c:v>
                </c:pt>
                <c:pt idx="50">
                  <c:v>0</c:v>
                </c:pt>
                <c:pt idx="51">
                  <c:v>2</c:v>
                </c:pt>
                <c:pt idx="52">
                  <c:v>4</c:v>
                </c:pt>
                <c:pt idx="53">
                  <c:v>6</c:v>
                </c:pt>
                <c:pt idx="54">
                  <c:v>8</c:v>
                </c:pt>
                <c:pt idx="55">
                  <c:v>10</c:v>
                </c:pt>
                <c:pt idx="56">
                  <c:v>12</c:v>
                </c:pt>
                <c:pt idx="57">
                  <c:v>14</c:v>
                </c:pt>
                <c:pt idx="58">
                  <c:v>16</c:v>
                </c:pt>
                <c:pt idx="59">
                  <c:v>18</c:v>
                </c:pt>
                <c:pt idx="60">
                  <c:v>20</c:v>
                </c:pt>
                <c:pt idx="61">
                  <c:v>22</c:v>
                </c:pt>
                <c:pt idx="62">
                  <c:v>24</c:v>
                </c:pt>
                <c:pt idx="63">
                  <c:v>26</c:v>
                </c:pt>
                <c:pt idx="64">
                  <c:v>28</c:v>
                </c:pt>
                <c:pt idx="65">
                  <c:v>30</c:v>
                </c:pt>
                <c:pt idx="66">
                  <c:v>32</c:v>
                </c:pt>
                <c:pt idx="67">
                  <c:v>34</c:v>
                </c:pt>
                <c:pt idx="68">
                  <c:v>36</c:v>
                </c:pt>
                <c:pt idx="69">
                  <c:v>38</c:v>
                </c:pt>
                <c:pt idx="70">
                  <c:v>40</c:v>
                </c:pt>
                <c:pt idx="71">
                  <c:v>42</c:v>
                </c:pt>
                <c:pt idx="72">
                  <c:v>44</c:v>
                </c:pt>
                <c:pt idx="73">
                  <c:v>46</c:v>
                </c:pt>
                <c:pt idx="74">
                  <c:v>48</c:v>
                </c:pt>
                <c:pt idx="75">
                  <c:v>50</c:v>
                </c:pt>
                <c:pt idx="76">
                  <c:v>52</c:v>
                </c:pt>
                <c:pt idx="77">
                  <c:v>54</c:v>
                </c:pt>
                <c:pt idx="78">
                  <c:v>56</c:v>
                </c:pt>
                <c:pt idx="79">
                  <c:v>58</c:v>
                </c:pt>
                <c:pt idx="80">
                  <c:v>60</c:v>
                </c:pt>
                <c:pt idx="81">
                  <c:v>62</c:v>
                </c:pt>
                <c:pt idx="82">
                  <c:v>64</c:v>
                </c:pt>
                <c:pt idx="83">
                  <c:v>66</c:v>
                </c:pt>
                <c:pt idx="84">
                  <c:v>68</c:v>
                </c:pt>
                <c:pt idx="85">
                  <c:v>70</c:v>
                </c:pt>
                <c:pt idx="86">
                  <c:v>72</c:v>
                </c:pt>
                <c:pt idx="87">
                  <c:v>74</c:v>
                </c:pt>
                <c:pt idx="88">
                  <c:v>76</c:v>
                </c:pt>
                <c:pt idx="89">
                  <c:v>78</c:v>
                </c:pt>
                <c:pt idx="90">
                  <c:v>80</c:v>
                </c:pt>
                <c:pt idx="91">
                  <c:v>82</c:v>
                </c:pt>
                <c:pt idx="92">
                  <c:v>84</c:v>
                </c:pt>
                <c:pt idx="93">
                  <c:v>86</c:v>
                </c:pt>
                <c:pt idx="94">
                  <c:v>88</c:v>
                </c:pt>
                <c:pt idx="95">
                  <c:v>90</c:v>
                </c:pt>
                <c:pt idx="96">
                  <c:v>92</c:v>
                </c:pt>
                <c:pt idx="97">
                  <c:v>94</c:v>
                </c:pt>
                <c:pt idx="98">
                  <c:v>96</c:v>
                </c:pt>
                <c:pt idx="99">
                  <c:v>98</c:v>
                </c:pt>
                <c:pt idx="100">
                  <c:v>100</c:v>
                </c:pt>
              </c:numCache>
            </c:numRef>
          </c:yVal>
          <c:smooth val="1"/>
          <c:extLst>
            <c:ext xmlns:c16="http://schemas.microsoft.com/office/drawing/2014/chart" uri="{C3380CC4-5D6E-409C-BE32-E72D297353CC}">
              <c16:uniqueId val="{00000002-1233-43E2-ACB2-3D06AB7375B7}"/>
            </c:ext>
          </c:extLst>
        </c:ser>
        <c:ser>
          <c:idx val="3"/>
          <c:order val="3"/>
          <c:tx>
            <c:v>Total</c:v>
          </c:tx>
          <c:marker>
            <c:symbol val="none"/>
          </c:marker>
          <c:xVal>
            <c:numRef>
              <c:f>'Slide 27'!$Z$6:$Z$106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27'!$AD$6:$AD$106</c:f>
              <c:numCache>
                <c:formatCode>General</c:formatCode>
                <c:ptCount val="101"/>
                <c:pt idx="0">
                  <c:v>-200</c:v>
                </c:pt>
                <c:pt idx="1">
                  <c:v>-196</c:v>
                </c:pt>
                <c:pt idx="2">
                  <c:v>-192</c:v>
                </c:pt>
                <c:pt idx="3">
                  <c:v>-188</c:v>
                </c:pt>
                <c:pt idx="4">
                  <c:v>-184</c:v>
                </c:pt>
                <c:pt idx="5">
                  <c:v>-180</c:v>
                </c:pt>
                <c:pt idx="6">
                  <c:v>-176</c:v>
                </c:pt>
                <c:pt idx="7">
                  <c:v>-172</c:v>
                </c:pt>
                <c:pt idx="8">
                  <c:v>-168</c:v>
                </c:pt>
                <c:pt idx="9">
                  <c:v>-164</c:v>
                </c:pt>
                <c:pt idx="10">
                  <c:v>-160</c:v>
                </c:pt>
                <c:pt idx="11">
                  <c:v>-156</c:v>
                </c:pt>
                <c:pt idx="12">
                  <c:v>-152</c:v>
                </c:pt>
                <c:pt idx="13">
                  <c:v>-148</c:v>
                </c:pt>
                <c:pt idx="14">
                  <c:v>-144</c:v>
                </c:pt>
                <c:pt idx="15">
                  <c:v>-140</c:v>
                </c:pt>
                <c:pt idx="16">
                  <c:v>-136</c:v>
                </c:pt>
                <c:pt idx="17">
                  <c:v>-132</c:v>
                </c:pt>
                <c:pt idx="18">
                  <c:v>-128</c:v>
                </c:pt>
                <c:pt idx="19">
                  <c:v>-124</c:v>
                </c:pt>
                <c:pt idx="20">
                  <c:v>-120</c:v>
                </c:pt>
                <c:pt idx="21">
                  <c:v>-116</c:v>
                </c:pt>
                <c:pt idx="22">
                  <c:v>-112</c:v>
                </c:pt>
                <c:pt idx="23">
                  <c:v>-108</c:v>
                </c:pt>
                <c:pt idx="24">
                  <c:v>-104</c:v>
                </c:pt>
                <c:pt idx="25">
                  <c:v>-100</c:v>
                </c:pt>
                <c:pt idx="26">
                  <c:v>-96</c:v>
                </c:pt>
                <c:pt idx="27">
                  <c:v>-92</c:v>
                </c:pt>
                <c:pt idx="28">
                  <c:v>-88</c:v>
                </c:pt>
                <c:pt idx="29">
                  <c:v>-84</c:v>
                </c:pt>
                <c:pt idx="30">
                  <c:v>-80</c:v>
                </c:pt>
                <c:pt idx="31">
                  <c:v>-76</c:v>
                </c:pt>
                <c:pt idx="32">
                  <c:v>-72</c:v>
                </c:pt>
                <c:pt idx="33">
                  <c:v>-68</c:v>
                </c:pt>
                <c:pt idx="34">
                  <c:v>-64</c:v>
                </c:pt>
                <c:pt idx="35">
                  <c:v>-60</c:v>
                </c:pt>
                <c:pt idx="36">
                  <c:v>-56</c:v>
                </c:pt>
                <c:pt idx="37">
                  <c:v>-52</c:v>
                </c:pt>
                <c:pt idx="38">
                  <c:v>-48</c:v>
                </c:pt>
                <c:pt idx="39">
                  <c:v>-44</c:v>
                </c:pt>
                <c:pt idx="40">
                  <c:v>-40</c:v>
                </c:pt>
                <c:pt idx="41">
                  <c:v>-36</c:v>
                </c:pt>
                <c:pt idx="42">
                  <c:v>-32</c:v>
                </c:pt>
                <c:pt idx="43">
                  <c:v>-28</c:v>
                </c:pt>
                <c:pt idx="44">
                  <c:v>-24</c:v>
                </c:pt>
                <c:pt idx="45">
                  <c:v>-20</c:v>
                </c:pt>
                <c:pt idx="46">
                  <c:v>-16</c:v>
                </c:pt>
                <c:pt idx="47">
                  <c:v>-12</c:v>
                </c:pt>
                <c:pt idx="48">
                  <c:v>-8</c:v>
                </c:pt>
                <c:pt idx="49">
                  <c:v>-4</c:v>
                </c:pt>
                <c:pt idx="50">
                  <c:v>0</c:v>
                </c:pt>
                <c:pt idx="51">
                  <c:v>4</c:v>
                </c:pt>
                <c:pt idx="52">
                  <c:v>8</c:v>
                </c:pt>
                <c:pt idx="53">
                  <c:v>12</c:v>
                </c:pt>
                <c:pt idx="54">
                  <c:v>16</c:v>
                </c:pt>
                <c:pt idx="55">
                  <c:v>20</c:v>
                </c:pt>
                <c:pt idx="56">
                  <c:v>24</c:v>
                </c:pt>
                <c:pt idx="57">
                  <c:v>28</c:v>
                </c:pt>
                <c:pt idx="58">
                  <c:v>32</c:v>
                </c:pt>
                <c:pt idx="59">
                  <c:v>36</c:v>
                </c:pt>
                <c:pt idx="60">
                  <c:v>40</c:v>
                </c:pt>
                <c:pt idx="61">
                  <c:v>44</c:v>
                </c:pt>
                <c:pt idx="62">
                  <c:v>48</c:v>
                </c:pt>
                <c:pt idx="63">
                  <c:v>52</c:v>
                </c:pt>
                <c:pt idx="64">
                  <c:v>56</c:v>
                </c:pt>
                <c:pt idx="65">
                  <c:v>60</c:v>
                </c:pt>
                <c:pt idx="66">
                  <c:v>64</c:v>
                </c:pt>
                <c:pt idx="67">
                  <c:v>68</c:v>
                </c:pt>
                <c:pt idx="68">
                  <c:v>72</c:v>
                </c:pt>
                <c:pt idx="69">
                  <c:v>76</c:v>
                </c:pt>
                <c:pt idx="70">
                  <c:v>80</c:v>
                </c:pt>
                <c:pt idx="71">
                  <c:v>84</c:v>
                </c:pt>
                <c:pt idx="72">
                  <c:v>88</c:v>
                </c:pt>
                <c:pt idx="73">
                  <c:v>92</c:v>
                </c:pt>
                <c:pt idx="74">
                  <c:v>96</c:v>
                </c:pt>
                <c:pt idx="75">
                  <c:v>100</c:v>
                </c:pt>
                <c:pt idx="76">
                  <c:v>104</c:v>
                </c:pt>
                <c:pt idx="77">
                  <c:v>108</c:v>
                </c:pt>
                <c:pt idx="78">
                  <c:v>112</c:v>
                </c:pt>
                <c:pt idx="79">
                  <c:v>116</c:v>
                </c:pt>
                <c:pt idx="80">
                  <c:v>120</c:v>
                </c:pt>
                <c:pt idx="81">
                  <c:v>124</c:v>
                </c:pt>
                <c:pt idx="82">
                  <c:v>128</c:v>
                </c:pt>
                <c:pt idx="83">
                  <c:v>132</c:v>
                </c:pt>
                <c:pt idx="84">
                  <c:v>136</c:v>
                </c:pt>
                <c:pt idx="85">
                  <c:v>140</c:v>
                </c:pt>
                <c:pt idx="86">
                  <c:v>144</c:v>
                </c:pt>
                <c:pt idx="87">
                  <c:v>148</c:v>
                </c:pt>
                <c:pt idx="88">
                  <c:v>152</c:v>
                </c:pt>
                <c:pt idx="89">
                  <c:v>156</c:v>
                </c:pt>
                <c:pt idx="90">
                  <c:v>160</c:v>
                </c:pt>
                <c:pt idx="91">
                  <c:v>164</c:v>
                </c:pt>
                <c:pt idx="92">
                  <c:v>168</c:v>
                </c:pt>
                <c:pt idx="93">
                  <c:v>172</c:v>
                </c:pt>
                <c:pt idx="94">
                  <c:v>176</c:v>
                </c:pt>
                <c:pt idx="95">
                  <c:v>180</c:v>
                </c:pt>
                <c:pt idx="96">
                  <c:v>184</c:v>
                </c:pt>
                <c:pt idx="97">
                  <c:v>188</c:v>
                </c:pt>
                <c:pt idx="98">
                  <c:v>192</c:v>
                </c:pt>
                <c:pt idx="99">
                  <c:v>196</c:v>
                </c:pt>
                <c:pt idx="100">
                  <c:v>200</c:v>
                </c:pt>
              </c:numCache>
            </c:numRef>
          </c:yVal>
          <c:smooth val="1"/>
          <c:extLst>
            <c:ext xmlns:c16="http://schemas.microsoft.com/office/drawing/2014/chart" uri="{C3380CC4-5D6E-409C-BE32-E72D297353CC}">
              <c16:uniqueId val="{00000003-1233-43E2-ACB2-3D06AB7375B7}"/>
            </c:ext>
          </c:extLst>
        </c:ser>
        <c:dLbls>
          <c:showLegendKey val="0"/>
          <c:showVal val="0"/>
          <c:showCatName val="0"/>
          <c:showSerName val="0"/>
          <c:showPercent val="0"/>
          <c:showBubbleSize val="0"/>
        </c:dLbls>
        <c:axId val="109231104"/>
        <c:axId val="109245568"/>
      </c:scatterChart>
      <c:valAx>
        <c:axId val="109231104"/>
        <c:scaling>
          <c:orientation val="minMax"/>
          <c:max val="200"/>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Zero Rate Term Structure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Zero Rate </c:v>
          </c:tx>
          <c:spPr>
            <a:ln w="19050" cap="rnd">
              <a:solidFill>
                <a:schemeClr val="accent1"/>
              </a:solidFill>
              <a:round/>
            </a:ln>
            <a:effectLst/>
          </c:spPr>
          <c:marker>
            <c:symbol val="none"/>
          </c:marker>
          <c:cat>
            <c:numRef>
              <c:f>'Slide 38'!$A$3:$A$17</c:f>
              <c:numCache>
                <c:formatCode>General</c:formatCode>
                <c:ptCount val="15"/>
                <c:pt idx="0">
                  <c:v>1</c:v>
                </c:pt>
                <c:pt idx="1">
                  <c:v>2</c:v>
                </c:pt>
                <c:pt idx="2">
                  <c:v>3</c:v>
                </c:pt>
                <c:pt idx="3">
                  <c:v>4</c:v>
                </c:pt>
                <c:pt idx="4">
                  <c:v>5</c:v>
                </c:pt>
                <c:pt idx="5">
                  <c:v>6</c:v>
                </c:pt>
                <c:pt idx="6">
                  <c:v>7</c:v>
                </c:pt>
                <c:pt idx="7">
                  <c:v>8</c:v>
                </c:pt>
                <c:pt idx="8">
                  <c:v>9</c:v>
                </c:pt>
                <c:pt idx="9">
                  <c:v>10</c:v>
                </c:pt>
                <c:pt idx="10">
                  <c:v>15</c:v>
                </c:pt>
                <c:pt idx="11">
                  <c:v>30</c:v>
                </c:pt>
                <c:pt idx="12">
                  <c:v>50</c:v>
                </c:pt>
                <c:pt idx="13">
                  <c:v>75</c:v>
                </c:pt>
                <c:pt idx="14">
                  <c:v>100</c:v>
                </c:pt>
              </c:numCache>
            </c:numRef>
          </c:cat>
          <c:val>
            <c:numRef>
              <c:f>'Slide 38'!$B$3:$B$17</c:f>
              <c:numCache>
                <c:formatCode>0.000%</c:formatCode>
                <c:ptCount val="15"/>
                <c:pt idx="0">
                  <c:v>0.01</c:v>
                </c:pt>
                <c:pt idx="1">
                  <c:v>1.2E-2</c:v>
                </c:pt>
                <c:pt idx="2">
                  <c:v>1.2500000000000001E-2</c:v>
                </c:pt>
                <c:pt idx="3">
                  <c:v>1.2999999999999999E-2</c:v>
                </c:pt>
                <c:pt idx="4">
                  <c:v>1.32E-2</c:v>
                </c:pt>
                <c:pt idx="5">
                  <c:v>1.35E-2</c:v>
                </c:pt>
                <c:pt idx="6">
                  <c:v>1.6E-2</c:v>
                </c:pt>
                <c:pt idx="7">
                  <c:v>1.7000000000000001E-2</c:v>
                </c:pt>
                <c:pt idx="8">
                  <c:v>0.02</c:v>
                </c:pt>
                <c:pt idx="9">
                  <c:v>2.3E-2</c:v>
                </c:pt>
                <c:pt idx="10">
                  <c:v>2.4E-2</c:v>
                </c:pt>
                <c:pt idx="11">
                  <c:v>2.8000000000000001E-2</c:v>
                </c:pt>
                <c:pt idx="12">
                  <c:v>0.03</c:v>
                </c:pt>
                <c:pt idx="13">
                  <c:v>3.5000000000000003E-2</c:v>
                </c:pt>
                <c:pt idx="14">
                  <c:v>0.04</c:v>
                </c:pt>
              </c:numCache>
            </c:numRef>
          </c:val>
          <c:smooth val="0"/>
          <c:extLst>
            <c:ext xmlns:c16="http://schemas.microsoft.com/office/drawing/2014/chart" uri="{C3380CC4-5D6E-409C-BE32-E72D297353CC}">
              <c16:uniqueId val="{00000000-0667-4FD8-A2C6-ADF07AF87E44}"/>
            </c:ext>
          </c:extLst>
        </c:ser>
        <c:ser>
          <c:idx val="1"/>
          <c:order val="1"/>
          <c:tx>
            <c:strRef>
              <c:f>'Slide 38'!$C$2</c:f>
              <c:strCache>
                <c:ptCount val="1"/>
                <c:pt idx="0">
                  <c:v>Zero Rate+spread</c:v>
                </c:pt>
              </c:strCache>
            </c:strRef>
          </c:tx>
          <c:spPr>
            <a:ln w="19050" cap="rnd">
              <a:solidFill>
                <a:schemeClr val="accent2"/>
              </a:solidFill>
              <a:round/>
            </a:ln>
            <a:effectLst/>
          </c:spPr>
          <c:marker>
            <c:symbol val="none"/>
          </c:marker>
          <c:cat>
            <c:numRef>
              <c:f>'Slide 38'!$A$3:$A$17</c:f>
              <c:numCache>
                <c:formatCode>General</c:formatCode>
                <c:ptCount val="15"/>
                <c:pt idx="0">
                  <c:v>1</c:v>
                </c:pt>
                <c:pt idx="1">
                  <c:v>2</c:v>
                </c:pt>
                <c:pt idx="2">
                  <c:v>3</c:v>
                </c:pt>
                <c:pt idx="3">
                  <c:v>4</c:v>
                </c:pt>
                <c:pt idx="4">
                  <c:v>5</c:v>
                </c:pt>
                <c:pt idx="5">
                  <c:v>6</c:v>
                </c:pt>
                <c:pt idx="6">
                  <c:v>7</c:v>
                </c:pt>
                <c:pt idx="7">
                  <c:v>8</c:v>
                </c:pt>
                <c:pt idx="8">
                  <c:v>9</c:v>
                </c:pt>
                <c:pt idx="9">
                  <c:v>10</c:v>
                </c:pt>
                <c:pt idx="10">
                  <c:v>15</c:v>
                </c:pt>
                <c:pt idx="11">
                  <c:v>30</c:v>
                </c:pt>
                <c:pt idx="12">
                  <c:v>50</c:v>
                </c:pt>
                <c:pt idx="13">
                  <c:v>75</c:v>
                </c:pt>
                <c:pt idx="14">
                  <c:v>100</c:v>
                </c:pt>
              </c:numCache>
            </c:numRef>
          </c:cat>
          <c:val>
            <c:numRef>
              <c:f>'Slide 38'!$C$3:$C$17</c:f>
              <c:numCache>
                <c:formatCode>0.000%</c:formatCode>
                <c:ptCount val="15"/>
                <c:pt idx="0">
                  <c:v>0.02</c:v>
                </c:pt>
                <c:pt idx="1">
                  <c:v>2.1999999999999999E-2</c:v>
                </c:pt>
                <c:pt idx="2">
                  <c:v>2.2499999999999999E-2</c:v>
                </c:pt>
                <c:pt idx="3">
                  <c:v>2.3E-2</c:v>
                </c:pt>
                <c:pt idx="4">
                  <c:v>2.3199999999999998E-2</c:v>
                </c:pt>
                <c:pt idx="5">
                  <c:v>2.35E-2</c:v>
                </c:pt>
                <c:pt idx="6">
                  <c:v>2.6000000000000002E-2</c:v>
                </c:pt>
                <c:pt idx="7">
                  <c:v>2.7000000000000003E-2</c:v>
                </c:pt>
                <c:pt idx="8">
                  <c:v>0.03</c:v>
                </c:pt>
                <c:pt idx="9">
                  <c:v>3.3000000000000002E-2</c:v>
                </c:pt>
                <c:pt idx="10">
                  <c:v>3.4000000000000002E-2</c:v>
                </c:pt>
                <c:pt idx="11">
                  <c:v>3.7999999999999999E-2</c:v>
                </c:pt>
                <c:pt idx="12">
                  <c:v>0.04</c:v>
                </c:pt>
                <c:pt idx="13">
                  <c:v>4.5000000000000005E-2</c:v>
                </c:pt>
                <c:pt idx="14">
                  <c:v>0.05</c:v>
                </c:pt>
              </c:numCache>
            </c:numRef>
          </c:val>
          <c:smooth val="0"/>
          <c:extLst>
            <c:ext xmlns:c16="http://schemas.microsoft.com/office/drawing/2014/chart" uri="{C3380CC4-5D6E-409C-BE32-E72D297353CC}">
              <c16:uniqueId val="{00000001-0667-4FD8-A2C6-ADF07AF87E44}"/>
            </c:ext>
          </c:extLst>
        </c:ser>
        <c:dLbls>
          <c:showLegendKey val="0"/>
          <c:showVal val="0"/>
          <c:showCatName val="0"/>
          <c:showSerName val="0"/>
          <c:showPercent val="0"/>
          <c:showBubbleSize val="0"/>
        </c:dLbls>
        <c:smooth val="0"/>
        <c:axId val="1869873536"/>
        <c:axId val="1869865216"/>
      </c:lineChart>
      <c:catAx>
        <c:axId val="1869873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Term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65216"/>
        <c:crosses val="autoZero"/>
        <c:auto val="1"/>
        <c:lblAlgn val="ctr"/>
        <c:lblOffset val="100"/>
        <c:noMultiLvlLbl val="1"/>
      </c:catAx>
      <c:valAx>
        <c:axId val="186986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Zero Rates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7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CA" sz="1400" b="0" i="0" u="none" strike="noStrike" kern="1200" spc="0" baseline="0">
                <a:solidFill>
                  <a:sysClr val="windowText" lastClr="000000">
                    <a:lumMod val="65000"/>
                    <a:lumOff val="35000"/>
                  </a:sysClr>
                </a:solidFill>
                <a:latin typeface="+mn-lt"/>
                <a:ea typeface="+mn-ea"/>
                <a:cs typeface="+mn-cs"/>
              </a:defRPr>
            </a:pPr>
            <a:r>
              <a:rPr lang="en-CA" sz="1400" b="0" i="0" u="none" strike="noStrike" kern="1200" spc="0" baseline="0">
                <a:solidFill>
                  <a:sysClr val="windowText" lastClr="000000">
                    <a:lumMod val="65000"/>
                    <a:lumOff val="35000"/>
                  </a:sysClr>
                </a:solidFill>
                <a:latin typeface="+mn-lt"/>
                <a:ea typeface="+mn-ea"/>
                <a:cs typeface="+mn-cs"/>
              </a:rPr>
              <a:t>Impact on Discount Factor Term Structure</a:t>
            </a:r>
          </a:p>
        </c:rich>
      </c:tx>
      <c:overlay val="0"/>
      <c:spPr>
        <a:noFill/>
        <a:ln>
          <a:noFill/>
        </a:ln>
        <a:effectLst/>
      </c:spPr>
      <c:txPr>
        <a:bodyPr rot="0" spcFirstLastPara="1" vertOverflow="ellipsis" vert="horz" wrap="square" anchor="ctr" anchorCtr="1"/>
        <a:lstStyle/>
        <a:p>
          <a:pPr algn="ctr" rtl="0">
            <a:defRPr lang="en-CA"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v>Zero Rate </c:v>
          </c:tx>
          <c:spPr>
            <a:ln w="9525" cap="rnd">
              <a:solidFill>
                <a:schemeClr val="accent1"/>
              </a:solidFill>
              <a:round/>
            </a:ln>
            <a:effectLst>
              <a:outerShdw blurRad="40000" dist="23000" dir="5400000" rotWithShape="0">
                <a:srgbClr val="000000">
                  <a:alpha val="35000"/>
                </a:srgbClr>
              </a:outerShdw>
            </a:effectLst>
          </c:spPr>
          <c:marker>
            <c:symbol val="none"/>
          </c:marker>
          <c:cat>
            <c:numRef>
              <c:f>'Slide 38'!$A$20:$A$35</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15</c:v>
                </c:pt>
                <c:pt idx="12">
                  <c:v>30</c:v>
                </c:pt>
                <c:pt idx="13">
                  <c:v>50</c:v>
                </c:pt>
                <c:pt idx="14">
                  <c:v>75</c:v>
                </c:pt>
                <c:pt idx="15">
                  <c:v>100</c:v>
                </c:pt>
              </c:numCache>
            </c:numRef>
          </c:cat>
          <c:val>
            <c:numRef>
              <c:f>'Slide 38'!$B$20:$B$35</c:f>
              <c:numCache>
                <c:formatCode>_("$"* #\ ##0.00_);_("$"* \(#\ ##0.00\);_("$"* "-"??_);_(@_)</c:formatCode>
                <c:ptCount val="16"/>
                <c:pt idx="0">
                  <c:v>1</c:v>
                </c:pt>
                <c:pt idx="1">
                  <c:v>0.99004983374916811</c:v>
                </c:pt>
                <c:pt idx="2">
                  <c:v>0.97628570975790929</c:v>
                </c:pt>
                <c:pt idx="3">
                  <c:v>0.96319441772082182</c:v>
                </c:pt>
                <c:pt idx="4">
                  <c:v>0.94932886684288953</c:v>
                </c:pt>
                <c:pt idx="5">
                  <c:v>0.93613086429161885</c:v>
                </c:pt>
                <c:pt idx="6">
                  <c:v>0.92219369144460805</c:v>
                </c:pt>
                <c:pt idx="7">
                  <c:v>0.89404425750035721</c:v>
                </c:pt>
                <c:pt idx="8">
                  <c:v>0.87284263248871929</c:v>
                </c:pt>
                <c:pt idx="9">
                  <c:v>0.835270211411272</c:v>
                </c:pt>
                <c:pt idx="10">
                  <c:v>0.79453360250333405</c:v>
                </c:pt>
                <c:pt idx="11">
                  <c:v>0.69767632607103103</c:v>
                </c:pt>
                <c:pt idx="12">
                  <c:v>0.43171052342907973</c:v>
                </c:pt>
                <c:pt idx="13">
                  <c:v>0.22313016014842982</c:v>
                </c:pt>
                <c:pt idx="14">
                  <c:v>7.2439757034251429E-2</c:v>
                </c:pt>
                <c:pt idx="15">
                  <c:v>1.8315638888734179E-2</c:v>
                </c:pt>
              </c:numCache>
            </c:numRef>
          </c:val>
          <c:smooth val="0"/>
          <c:extLst>
            <c:ext xmlns:c16="http://schemas.microsoft.com/office/drawing/2014/chart" uri="{C3380CC4-5D6E-409C-BE32-E72D297353CC}">
              <c16:uniqueId val="{00000000-0260-4B9F-8F0F-FE58D4B967D7}"/>
            </c:ext>
          </c:extLst>
        </c:ser>
        <c:ser>
          <c:idx val="1"/>
          <c:order val="1"/>
          <c:tx>
            <c:strRef>
              <c:f>'Slide 38'!$C$19</c:f>
              <c:strCache>
                <c:ptCount val="1"/>
                <c:pt idx="0">
                  <c:v>Dis Factor (spread)</c:v>
                </c:pt>
              </c:strCache>
            </c:strRef>
          </c:tx>
          <c:spPr>
            <a:ln w="9525" cap="rnd">
              <a:solidFill>
                <a:schemeClr val="accent2"/>
              </a:solidFill>
              <a:round/>
            </a:ln>
            <a:effectLst>
              <a:outerShdw blurRad="40000" dist="23000" dir="5400000" rotWithShape="0">
                <a:srgbClr val="000000">
                  <a:alpha val="35000"/>
                </a:srgbClr>
              </a:outerShdw>
            </a:effectLst>
          </c:spPr>
          <c:marker>
            <c:symbol val="none"/>
          </c:marker>
          <c:cat>
            <c:numRef>
              <c:f>'Slide 38'!$A$20:$A$35</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15</c:v>
                </c:pt>
                <c:pt idx="12">
                  <c:v>30</c:v>
                </c:pt>
                <c:pt idx="13">
                  <c:v>50</c:v>
                </c:pt>
                <c:pt idx="14">
                  <c:v>75</c:v>
                </c:pt>
                <c:pt idx="15">
                  <c:v>100</c:v>
                </c:pt>
              </c:numCache>
            </c:numRef>
          </c:cat>
          <c:val>
            <c:numRef>
              <c:f>'Slide 38'!$C$20:$C$35</c:f>
              <c:numCache>
                <c:formatCode>_("$"* #\ ##0.00_);_("$"* \(#\ ##0.00\);_("$"* "-"??_);_(@_)</c:formatCode>
                <c:ptCount val="16"/>
                <c:pt idx="0">
                  <c:v>1</c:v>
                </c:pt>
                <c:pt idx="1">
                  <c:v>0.98019867330675525</c:v>
                </c:pt>
                <c:pt idx="2">
                  <c:v>0.95695395747304668</c:v>
                </c:pt>
                <c:pt idx="3">
                  <c:v>0.93472772061602749</c:v>
                </c:pt>
                <c:pt idx="4">
                  <c:v>0.91210514954509037</c:v>
                </c:pt>
                <c:pt idx="5">
                  <c:v>0.89047522329747264</c:v>
                </c:pt>
                <c:pt idx="6">
                  <c:v>0.86848931169766785</c:v>
                </c:pt>
                <c:pt idx="7">
                  <c:v>0.8336013404157353</c:v>
                </c:pt>
                <c:pt idx="8">
                  <c:v>0.80573530187347964</c:v>
                </c:pt>
                <c:pt idx="9">
                  <c:v>0.76337949433685315</c:v>
                </c:pt>
                <c:pt idx="10">
                  <c:v>0.71892373343192617</c:v>
                </c:pt>
                <c:pt idx="11">
                  <c:v>0.6004955788122659</c:v>
                </c:pt>
                <c:pt idx="12">
                  <c:v>0.31981902181630395</c:v>
                </c:pt>
                <c:pt idx="13">
                  <c:v>0.1353352832366127</c:v>
                </c:pt>
                <c:pt idx="14">
                  <c:v>3.4218118311666018E-2</c:v>
                </c:pt>
                <c:pt idx="15">
                  <c:v>6.737946999085467E-3</c:v>
                </c:pt>
              </c:numCache>
            </c:numRef>
          </c:val>
          <c:smooth val="0"/>
          <c:extLst>
            <c:ext xmlns:c16="http://schemas.microsoft.com/office/drawing/2014/chart" uri="{C3380CC4-5D6E-409C-BE32-E72D297353CC}">
              <c16:uniqueId val="{00000001-0260-4B9F-8F0F-FE58D4B967D7}"/>
            </c:ext>
          </c:extLst>
        </c:ser>
        <c:dLbls>
          <c:showLegendKey val="0"/>
          <c:showVal val="0"/>
          <c:showCatName val="0"/>
          <c:showSerName val="0"/>
          <c:showPercent val="0"/>
          <c:showBubbleSize val="0"/>
        </c:dLbls>
        <c:smooth val="0"/>
        <c:axId val="1869873536"/>
        <c:axId val="1869865216"/>
      </c:lineChart>
      <c:dateAx>
        <c:axId val="186987353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Term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0"/>
        <c:majorTickMark val="none"/>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9865216"/>
        <c:crosses val="autoZero"/>
        <c:auto val="0"/>
        <c:lblOffset val="100"/>
        <c:baseTimeUnit val="days"/>
      </c:dateAx>
      <c:valAx>
        <c:axId val="18698652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Discount Factors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quot;$&quot;* #\ ##0.00_);_(&quot;$&quot;* \(#\ ##0.00\);_(&quot;$&quot;* &quot;-&quot;??_);_(@_)"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987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Interest</c:v>
          </c:tx>
          <c:spPr>
            <a:solidFill>
              <a:schemeClr val="accent1"/>
            </a:solidFill>
            <a:ln>
              <a:noFill/>
            </a:ln>
            <a:effectLst/>
          </c:spPr>
          <c:invertIfNegative val="0"/>
          <c:val>
            <c:numRef>
              <c:f>'Slide 53a'!$F$5:$F$14</c:f>
              <c:numCache>
                <c:formatCode>_-"$"* #\ ##0.00_-;\-"$"* #\ ##0.00_-;_-"$"* "-"??_-;_-@_-</c:formatCode>
                <c:ptCount val="10"/>
                <c:pt idx="0">
                  <c:v>10</c:v>
                </c:pt>
                <c:pt idx="1">
                  <c:v>9.3725460511748846</c:v>
                </c:pt>
                <c:pt idx="2">
                  <c:v>8.6823467074672571</c:v>
                </c:pt>
                <c:pt idx="3">
                  <c:v>7.9231274293888667</c:v>
                </c:pt>
                <c:pt idx="4">
                  <c:v>7.0879862235026367</c:v>
                </c:pt>
                <c:pt idx="5">
                  <c:v>6.169330897027784</c:v>
                </c:pt>
                <c:pt idx="6">
                  <c:v>5.1588100379054467</c:v>
                </c:pt>
                <c:pt idx="7">
                  <c:v>4.0472370928708754</c:v>
                </c:pt>
                <c:pt idx="8">
                  <c:v>2.8245068533328475</c:v>
                </c:pt>
                <c:pt idx="9">
                  <c:v>1.4795035898410158</c:v>
                </c:pt>
              </c:numCache>
            </c:numRef>
          </c:val>
          <c:extLst>
            <c:ext xmlns:c16="http://schemas.microsoft.com/office/drawing/2014/chart" uri="{C3380CC4-5D6E-409C-BE32-E72D297353CC}">
              <c16:uniqueId val="{00000000-DC7B-4C7E-BF55-9D21365E8853}"/>
            </c:ext>
          </c:extLst>
        </c:ser>
        <c:ser>
          <c:idx val="1"/>
          <c:order val="1"/>
          <c:tx>
            <c:v>Principal</c:v>
          </c:tx>
          <c:spPr>
            <a:solidFill>
              <a:schemeClr val="accent2"/>
            </a:solidFill>
            <a:ln>
              <a:noFill/>
            </a:ln>
            <a:effectLst/>
          </c:spPr>
          <c:invertIfNegative val="0"/>
          <c:val>
            <c:numRef>
              <c:f>'Slide 53a'!$G$5:$G$14</c:f>
              <c:numCache>
                <c:formatCode>_-"$"* #\ ##0.00_-;\-"$"* #\ ##0.00_-;_-"$"* "-"??_-;_-@_-</c:formatCode>
                <c:ptCount val="10"/>
                <c:pt idx="0">
                  <c:v>6.2745394882511611</c:v>
                </c:pt>
                <c:pt idx="1">
                  <c:v>6.9019934370762765</c:v>
                </c:pt>
                <c:pt idx="2">
                  <c:v>7.592192780783904</c:v>
                </c:pt>
                <c:pt idx="3">
                  <c:v>8.3514120588622944</c:v>
                </c:pt>
                <c:pt idx="4">
                  <c:v>9.1865532647485253</c:v>
                </c:pt>
                <c:pt idx="5">
                  <c:v>10.105208591223377</c:v>
                </c:pt>
                <c:pt idx="6">
                  <c:v>11.115729450345714</c:v>
                </c:pt>
                <c:pt idx="7">
                  <c:v>12.227302395380285</c:v>
                </c:pt>
                <c:pt idx="8">
                  <c:v>13.450032634918314</c:v>
                </c:pt>
                <c:pt idx="9">
                  <c:v>14.795035898410145</c:v>
                </c:pt>
              </c:numCache>
            </c:numRef>
          </c:val>
          <c:extLst>
            <c:ext xmlns:c16="http://schemas.microsoft.com/office/drawing/2014/chart" uri="{C3380CC4-5D6E-409C-BE32-E72D297353CC}">
              <c16:uniqueId val="{00000001-DC7B-4C7E-BF55-9D21365E8853}"/>
            </c:ext>
          </c:extLst>
        </c:ser>
        <c:dLbls>
          <c:showLegendKey val="0"/>
          <c:showVal val="0"/>
          <c:showCatName val="0"/>
          <c:showSerName val="0"/>
          <c:showPercent val="0"/>
          <c:showBubbleSize val="0"/>
        </c:dLbls>
        <c:gapWidth val="150"/>
        <c:overlap val="100"/>
        <c:axId val="1242041983"/>
        <c:axId val="1242039903"/>
      </c:barChart>
      <c:catAx>
        <c:axId val="1242041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39903"/>
        <c:crosses val="autoZero"/>
        <c:auto val="1"/>
        <c:lblAlgn val="ctr"/>
        <c:lblOffset val="100"/>
        <c:noMultiLvlLbl val="0"/>
      </c:catAx>
      <c:valAx>
        <c:axId val="12420399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 ##0.00_-;\-&quot;$&quot;* #\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4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Interest</c:v>
          </c:tx>
          <c:spPr>
            <a:solidFill>
              <a:schemeClr val="accent1"/>
            </a:solidFill>
            <a:ln>
              <a:noFill/>
            </a:ln>
            <a:effectLst/>
          </c:spPr>
          <c:invertIfNegative val="0"/>
          <c:val>
            <c:numRef>
              <c:f>'Slide 54'!$I$5:$I$14</c:f>
              <c:numCache>
                <c:formatCode>_-"$"* #\ ##0.00_-;\-"$"* #\ ##0.00_-;_-"$"* "-"??_-;_-@_-</c:formatCode>
                <c:ptCount val="10"/>
                <c:pt idx="0">
                  <c:v>5</c:v>
                </c:pt>
                <c:pt idx="1">
                  <c:v>4.721733987620901</c:v>
                </c:pt>
                <c:pt idx="2">
                  <c:v>4.4295546746228478</c:v>
                </c:pt>
                <c:pt idx="3">
                  <c:v>4.1227663959748915</c:v>
                </c:pt>
                <c:pt idx="4">
                  <c:v>3.8006387033945366</c:v>
                </c:pt>
                <c:pt idx="5">
                  <c:v>3.4624046261851649</c:v>
                </c:pt>
                <c:pt idx="6">
                  <c:v>3.1072588451153247</c:v>
                </c:pt>
                <c:pt idx="7">
                  <c:v>2.7343557749919922</c:v>
                </c:pt>
                <c:pt idx="8">
                  <c:v>2.3428075513624931</c:v>
                </c:pt>
                <c:pt idx="9">
                  <c:v>1.9316819165515193</c:v>
                </c:pt>
              </c:numCache>
            </c:numRef>
          </c:val>
          <c:extLst>
            <c:ext xmlns:c16="http://schemas.microsoft.com/office/drawing/2014/chart" uri="{C3380CC4-5D6E-409C-BE32-E72D297353CC}">
              <c16:uniqueId val="{00000000-C259-4087-AC45-29C2B1966240}"/>
            </c:ext>
          </c:extLst>
        </c:ser>
        <c:ser>
          <c:idx val="1"/>
          <c:order val="1"/>
          <c:tx>
            <c:v>Principal</c:v>
          </c:tx>
          <c:spPr>
            <a:solidFill>
              <a:schemeClr val="accent2"/>
            </a:solidFill>
            <a:ln>
              <a:noFill/>
            </a:ln>
            <a:effectLst/>
          </c:spPr>
          <c:invertIfNegative val="0"/>
          <c:val>
            <c:numRef>
              <c:f>'Slide 54'!$J$5:$J$14</c:f>
              <c:numCache>
                <c:formatCode>_-"$"* #\ ##0.00_-;\-"$"* #\ ##0.00_-;_-"$"* "-"??_-;_-@_-</c:formatCode>
                <c:ptCount val="10"/>
                <c:pt idx="0">
                  <c:v>5.5653202475819725</c:v>
                </c:pt>
                <c:pt idx="1">
                  <c:v>5.8435862599610715</c:v>
                </c:pt>
                <c:pt idx="2">
                  <c:v>6.1357655729591247</c:v>
                </c:pt>
                <c:pt idx="3">
                  <c:v>6.4425538516070811</c:v>
                </c:pt>
                <c:pt idx="4">
                  <c:v>6.7646815441874359</c:v>
                </c:pt>
                <c:pt idx="5">
                  <c:v>7.1029156213968072</c:v>
                </c:pt>
                <c:pt idx="6">
                  <c:v>7.4580614024666474</c:v>
                </c:pt>
                <c:pt idx="7">
                  <c:v>7.8309644725899803</c:v>
                </c:pt>
                <c:pt idx="8">
                  <c:v>8.2225126962194786</c:v>
                </c:pt>
                <c:pt idx="9">
                  <c:v>38.633638331030383</c:v>
                </c:pt>
              </c:numCache>
            </c:numRef>
          </c:val>
          <c:extLst>
            <c:ext xmlns:c16="http://schemas.microsoft.com/office/drawing/2014/chart" uri="{C3380CC4-5D6E-409C-BE32-E72D297353CC}">
              <c16:uniqueId val="{00000001-C259-4087-AC45-29C2B1966240}"/>
            </c:ext>
          </c:extLst>
        </c:ser>
        <c:dLbls>
          <c:showLegendKey val="0"/>
          <c:showVal val="0"/>
          <c:showCatName val="0"/>
          <c:showSerName val="0"/>
          <c:showPercent val="0"/>
          <c:showBubbleSize val="0"/>
        </c:dLbls>
        <c:gapWidth val="150"/>
        <c:overlap val="100"/>
        <c:axId val="1242041983"/>
        <c:axId val="1242039903"/>
      </c:barChart>
      <c:catAx>
        <c:axId val="1242041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39903"/>
        <c:crosses val="autoZero"/>
        <c:auto val="1"/>
        <c:lblAlgn val="ctr"/>
        <c:lblOffset val="100"/>
        <c:noMultiLvlLbl val="0"/>
      </c:catAx>
      <c:valAx>
        <c:axId val="12420399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 ##0.00_-;\-&quot;$&quot;* #\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4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Zero Rate Term Structure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'Slide 73 (3 instruments)'!$F$13:$F$15</c:f>
              <c:numCache>
                <c:formatCode>General</c:formatCode>
                <c:ptCount val="3"/>
                <c:pt idx="0">
                  <c:v>0.55890410958904113</c:v>
                </c:pt>
                <c:pt idx="1">
                  <c:v>0.83287671232876714</c:v>
                </c:pt>
                <c:pt idx="2">
                  <c:v>1.2164383561643837</c:v>
                </c:pt>
              </c:numCache>
            </c:numRef>
          </c:xVal>
          <c:yVal>
            <c:numRef>
              <c:f>'Slide 73 (3 instruments)'!$G$13:$G$15</c:f>
              <c:numCache>
                <c:formatCode>0.00%</c:formatCode>
                <c:ptCount val="3"/>
                <c:pt idx="0">
                  <c:v>4.5299019187577512E-2</c:v>
                </c:pt>
                <c:pt idx="1">
                  <c:v>8.7132575278667468E-2</c:v>
                </c:pt>
                <c:pt idx="2">
                  <c:v>9.5799195795996162E-2</c:v>
                </c:pt>
              </c:numCache>
            </c:numRef>
          </c:yVal>
          <c:smooth val="1"/>
          <c:extLst>
            <c:ext xmlns:c16="http://schemas.microsoft.com/office/drawing/2014/chart" uri="{C3380CC4-5D6E-409C-BE32-E72D297353CC}">
              <c16:uniqueId val="{00000000-5CDD-42CF-BA0D-42E8325E77B9}"/>
            </c:ext>
          </c:extLst>
        </c:ser>
        <c:dLbls>
          <c:showLegendKey val="0"/>
          <c:showVal val="0"/>
          <c:showCatName val="0"/>
          <c:showSerName val="0"/>
          <c:showPercent val="0"/>
          <c:showBubbleSize val="0"/>
        </c:dLbls>
        <c:axId val="404480768"/>
        <c:axId val="404479936"/>
      </c:scatterChart>
      <c:valAx>
        <c:axId val="404480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Term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79936"/>
        <c:crosses val="autoZero"/>
        <c:crossBetween val="midCat"/>
      </c:valAx>
      <c:valAx>
        <c:axId val="404479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Zero Rates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807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Zero Rate Term Structure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'Slide 73 (4 instruments)'!$H$24:$H$31</c:f>
              <c:numCache>
                <c:formatCode>General</c:formatCode>
                <c:ptCount val="8"/>
                <c:pt idx="0">
                  <c:v>0</c:v>
                </c:pt>
                <c:pt idx="1">
                  <c:v>0.23561643835616439</c:v>
                </c:pt>
                <c:pt idx="2">
                  <c:v>0.55890410958904113</c:v>
                </c:pt>
                <c:pt idx="3">
                  <c:v>0.73698630136986298</c:v>
                </c:pt>
                <c:pt idx="4">
                  <c:v>0.83287671232876714</c:v>
                </c:pt>
                <c:pt idx="5">
                  <c:v>1.2164383561643837</c:v>
                </c:pt>
                <c:pt idx="6">
                  <c:v>1.2356164383561643</c:v>
                </c:pt>
                <c:pt idx="7">
                  <c:v>1.736986301369863</c:v>
                </c:pt>
              </c:numCache>
            </c:numRef>
          </c:xVal>
          <c:yVal>
            <c:numRef>
              <c:f>'Slide 73 (4 instruments)'!$I$24:$I$31</c:f>
              <c:numCache>
                <c:formatCode>0.00%</c:formatCode>
                <c:ptCount val="8"/>
                <c:pt idx="0">
                  <c:v>4.5299019187577512E-2</c:v>
                </c:pt>
                <c:pt idx="1">
                  <c:v>4.5299019187577512E-2</c:v>
                </c:pt>
                <c:pt idx="2">
                  <c:v>4.5299019187577512E-2</c:v>
                </c:pt>
                <c:pt idx="3">
                  <c:v>7.2490830646785978E-2</c:v>
                </c:pt>
                <c:pt idx="4">
                  <c:v>8.7132575278667468E-2</c:v>
                </c:pt>
                <c:pt idx="5">
                  <c:v>9.5799195795996162E-2</c:v>
                </c:pt>
                <c:pt idx="6">
                  <c:v>9.6102229194222219E-2</c:v>
                </c:pt>
                <c:pt idx="7">
                  <c:v>0.10402438803356079</c:v>
                </c:pt>
              </c:numCache>
            </c:numRef>
          </c:yVal>
          <c:smooth val="1"/>
          <c:extLst>
            <c:ext xmlns:c16="http://schemas.microsoft.com/office/drawing/2014/chart" uri="{C3380CC4-5D6E-409C-BE32-E72D297353CC}">
              <c16:uniqueId val="{00000000-88EE-4042-96C5-BAD89FABFA20}"/>
            </c:ext>
          </c:extLst>
        </c:ser>
        <c:dLbls>
          <c:showLegendKey val="0"/>
          <c:showVal val="0"/>
          <c:showCatName val="0"/>
          <c:showSerName val="0"/>
          <c:showPercent val="0"/>
          <c:showBubbleSize val="0"/>
        </c:dLbls>
        <c:axId val="677663344"/>
        <c:axId val="677667088"/>
      </c:scatterChart>
      <c:valAx>
        <c:axId val="677663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67088"/>
        <c:crosses val="autoZero"/>
        <c:crossBetween val="midCat"/>
      </c:valAx>
      <c:valAx>
        <c:axId val="677667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Zero Rates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63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Term Structure of Rates</a:t>
            </a:r>
          </a:p>
        </c:rich>
      </c:tx>
      <c:overlay val="0"/>
    </c:title>
    <c:autoTitleDeleted val="0"/>
    <c:plotArea>
      <c:layout/>
      <c:scatterChart>
        <c:scatterStyle val="smoothMarker"/>
        <c:varyColors val="0"/>
        <c:ser>
          <c:idx val="0"/>
          <c:order val="0"/>
          <c:tx>
            <c:strRef>
              <c:f>'Slide 73 (all instruments)'!$I$36</c:f>
              <c:strCache>
                <c:ptCount val="1"/>
                <c:pt idx="0">
                  <c:v>Zero Rates</c:v>
                </c:pt>
              </c:strCache>
            </c:strRef>
          </c:tx>
          <c:marker>
            <c:symbol val="none"/>
          </c:marker>
          <c:xVal>
            <c:numRef>
              <c:f>'Slide 73 (all instruments)'!$H$37:$H$49</c:f>
              <c:numCache>
                <c:formatCode>General</c:formatCode>
                <c:ptCount val="13"/>
                <c:pt idx="0">
                  <c:v>0</c:v>
                </c:pt>
                <c:pt idx="1">
                  <c:v>1.0958904109589041E-2</c:v>
                </c:pt>
                <c:pt idx="2">
                  <c:v>0.23561643835616439</c:v>
                </c:pt>
                <c:pt idx="3">
                  <c:v>0.50684931506849318</c:v>
                </c:pt>
                <c:pt idx="4">
                  <c:v>0.55890410958904113</c:v>
                </c:pt>
                <c:pt idx="5">
                  <c:v>0.73698630136986298</c:v>
                </c:pt>
                <c:pt idx="6">
                  <c:v>0.83287671232876714</c:v>
                </c:pt>
                <c:pt idx="7">
                  <c:v>1.010958904109589</c:v>
                </c:pt>
                <c:pt idx="8">
                  <c:v>1.2164383561643837</c:v>
                </c:pt>
                <c:pt idx="9">
                  <c:v>1.2356164383561643</c:v>
                </c:pt>
                <c:pt idx="10">
                  <c:v>1.5068493150684932</c:v>
                </c:pt>
                <c:pt idx="11">
                  <c:v>1.736986301369863</c:v>
                </c:pt>
                <c:pt idx="12">
                  <c:v>2.010958904109589</c:v>
                </c:pt>
              </c:numCache>
            </c:numRef>
          </c:xVal>
          <c:yVal>
            <c:numRef>
              <c:f>'Slide 73 (all instruments)'!$I$37:$I$49</c:f>
              <c:numCache>
                <c:formatCode>0.00%</c:formatCode>
                <c:ptCount val="13"/>
                <c:pt idx="0">
                  <c:v>4.5299019187577512E-2</c:v>
                </c:pt>
                <c:pt idx="1">
                  <c:v>4.5299019187577512E-2</c:v>
                </c:pt>
                <c:pt idx="2">
                  <c:v>4.5299019187577512E-2</c:v>
                </c:pt>
                <c:pt idx="3">
                  <c:v>4.5299019187577512E-2</c:v>
                </c:pt>
                <c:pt idx="4">
                  <c:v>4.5299019187577512E-2</c:v>
                </c:pt>
                <c:pt idx="5">
                  <c:v>7.2490830646785978E-2</c:v>
                </c:pt>
                <c:pt idx="6">
                  <c:v>8.7132575278667468E-2</c:v>
                </c:pt>
                <c:pt idx="7">
                  <c:v>9.1156363375998639E-2</c:v>
                </c:pt>
                <c:pt idx="8">
                  <c:v>9.5799195795996162E-2</c:v>
                </c:pt>
                <c:pt idx="9">
                  <c:v>9.6122591564433452E-2</c:v>
                </c:pt>
                <c:pt idx="10">
                  <c:v>0.10069633171804654</c:v>
                </c:pt>
                <c:pt idx="11">
                  <c:v>0.10457708093929401</c:v>
                </c:pt>
                <c:pt idx="12">
                  <c:v>0.10989994075519438</c:v>
                </c:pt>
              </c:numCache>
            </c:numRef>
          </c:yVal>
          <c:smooth val="1"/>
          <c:extLst>
            <c:ext xmlns:c16="http://schemas.microsoft.com/office/drawing/2014/chart" uri="{C3380CC4-5D6E-409C-BE32-E72D297353CC}">
              <c16:uniqueId val="{00000000-B364-4F4E-85F9-12E25650A48D}"/>
            </c:ext>
          </c:extLst>
        </c:ser>
        <c:dLbls>
          <c:showLegendKey val="0"/>
          <c:showVal val="0"/>
          <c:showCatName val="0"/>
          <c:showSerName val="0"/>
          <c:showPercent val="0"/>
          <c:showBubbleSize val="0"/>
        </c:dLbls>
        <c:axId val="140956416"/>
        <c:axId val="140958336"/>
      </c:scatterChart>
      <c:valAx>
        <c:axId val="140956416"/>
        <c:scaling>
          <c:orientation val="minMax"/>
        </c:scaling>
        <c:delete val="0"/>
        <c:axPos val="b"/>
        <c:title>
          <c:tx>
            <c:rich>
              <a:bodyPr/>
              <a:lstStyle/>
              <a:p>
                <a:pPr>
                  <a:defRPr/>
                </a:pPr>
                <a:r>
                  <a:rPr lang="en-US"/>
                  <a:t>Maturity (Years)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40958336"/>
        <c:crosses val="autoZero"/>
        <c:crossBetween val="midCat"/>
      </c:valAx>
      <c:valAx>
        <c:axId val="140958336"/>
        <c:scaling>
          <c:orientation val="minMax"/>
        </c:scaling>
        <c:delete val="0"/>
        <c:axPos val="l"/>
        <c:majorGridlines/>
        <c:title>
          <c:tx>
            <c:rich>
              <a:bodyPr rot="-5400000" vert="horz"/>
              <a:lstStyle/>
              <a:p>
                <a:pPr>
                  <a:defRPr/>
                </a:pPr>
                <a:r>
                  <a:rPr lang="en-US"/>
                  <a:t>Zero Rates (%)</a:t>
                </a:r>
              </a:p>
            </c:rich>
          </c:tx>
          <c:overlay val="0"/>
        </c:title>
        <c:numFmt formatCode="0.00%" sourceLinked="1"/>
        <c:majorTickMark val="out"/>
        <c:minorTickMark val="none"/>
        <c:tickLblPos val="nextTo"/>
        <c:crossAx val="140956416"/>
        <c:crosses val="autoZero"/>
        <c:crossBetween val="midCat"/>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(Bear Spread)_new (2)'!$A$4:$A$104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(Bear Spread)_new (2)'!$F$4:$F$104</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numCache>
            </c:numRef>
          </c:yVal>
          <c:smooth val="1"/>
          <c:extLst>
            <c:ext xmlns:c16="http://schemas.microsoft.com/office/drawing/2014/chart" uri="{C3380CC4-5D6E-409C-BE32-E72D297353CC}">
              <c16:uniqueId val="{00000000-2007-4696-A347-8B533F418064}"/>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(Bear Spread)_new'!$A$4:$A$104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(Bear Spread)_new'!$F$4:$F$104</c:f>
              <c:numCache>
                <c:formatCode>General</c:formatCode>
                <c:ptCount val="101"/>
                <c:pt idx="0">
                  <c:v>20.042745697593006</c:v>
                </c:pt>
                <c:pt idx="1">
                  <c:v>20.042745697593006</c:v>
                </c:pt>
                <c:pt idx="2">
                  <c:v>20.042745697593006</c:v>
                </c:pt>
                <c:pt idx="3">
                  <c:v>20.042745697593006</c:v>
                </c:pt>
                <c:pt idx="4">
                  <c:v>20.042745697593006</c:v>
                </c:pt>
                <c:pt idx="5">
                  <c:v>20.042745697593006</c:v>
                </c:pt>
                <c:pt idx="6">
                  <c:v>20.042745697593006</c:v>
                </c:pt>
                <c:pt idx="7">
                  <c:v>20.042745697593006</c:v>
                </c:pt>
                <c:pt idx="8">
                  <c:v>20.042745697592999</c:v>
                </c:pt>
                <c:pt idx="9">
                  <c:v>20.042745697592999</c:v>
                </c:pt>
                <c:pt idx="10">
                  <c:v>20.042745697592999</c:v>
                </c:pt>
                <c:pt idx="11">
                  <c:v>20.042745697592999</c:v>
                </c:pt>
                <c:pt idx="12">
                  <c:v>20.042745697592999</c:v>
                </c:pt>
                <c:pt idx="13">
                  <c:v>20.042745697592999</c:v>
                </c:pt>
                <c:pt idx="14">
                  <c:v>20.042745697592999</c:v>
                </c:pt>
                <c:pt idx="15">
                  <c:v>20.042745697592999</c:v>
                </c:pt>
                <c:pt idx="16">
                  <c:v>20.042745697592999</c:v>
                </c:pt>
                <c:pt idx="17">
                  <c:v>20.042745697592999</c:v>
                </c:pt>
                <c:pt idx="18">
                  <c:v>20.042745697592999</c:v>
                </c:pt>
                <c:pt idx="19">
                  <c:v>20.042745697592999</c:v>
                </c:pt>
                <c:pt idx="20">
                  <c:v>20.042745697592999</c:v>
                </c:pt>
                <c:pt idx="21">
                  <c:v>20.042745697592999</c:v>
                </c:pt>
                <c:pt idx="22">
                  <c:v>20.042745697592999</c:v>
                </c:pt>
                <c:pt idx="23">
                  <c:v>20.042745697592999</c:v>
                </c:pt>
                <c:pt idx="24">
                  <c:v>20.042745697593002</c:v>
                </c:pt>
                <c:pt idx="25">
                  <c:v>20.042745697593002</c:v>
                </c:pt>
                <c:pt idx="26">
                  <c:v>20.042745697593002</c:v>
                </c:pt>
                <c:pt idx="27">
                  <c:v>20.042745697593002</c:v>
                </c:pt>
                <c:pt idx="28">
                  <c:v>20.042745697593002</c:v>
                </c:pt>
                <c:pt idx="29">
                  <c:v>20.042745697593002</c:v>
                </c:pt>
                <c:pt idx="30">
                  <c:v>20.042745697593002</c:v>
                </c:pt>
                <c:pt idx="31">
                  <c:v>20.042745697593002</c:v>
                </c:pt>
                <c:pt idx="32">
                  <c:v>20.042745697592999</c:v>
                </c:pt>
                <c:pt idx="33">
                  <c:v>20.042745697592999</c:v>
                </c:pt>
                <c:pt idx="34">
                  <c:v>20.042745697592999</c:v>
                </c:pt>
                <c:pt idx="35">
                  <c:v>20.042745697592999</c:v>
                </c:pt>
                <c:pt idx="36">
                  <c:v>20.042745697592999</c:v>
                </c:pt>
                <c:pt idx="37">
                  <c:v>20.042745697592999</c:v>
                </c:pt>
                <c:pt idx="38">
                  <c:v>20.042745697592999</c:v>
                </c:pt>
                <c:pt idx="39">
                  <c:v>20.042745697592999</c:v>
                </c:pt>
                <c:pt idx="40">
                  <c:v>20.042745697592999</c:v>
                </c:pt>
                <c:pt idx="41">
                  <c:v>18.042745697592999</c:v>
                </c:pt>
                <c:pt idx="42">
                  <c:v>16.042745697592999</c:v>
                </c:pt>
                <c:pt idx="43">
                  <c:v>14.042745697592997</c:v>
                </c:pt>
                <c:pt idx="44">
                  <c:v>12.042745697592997</c:v>
                </c:pt>
                <c:pt idx="45">
                  <c:v>10.042745697592997</c:v>
                </c:pt>
                <c:pt idx="46">
                  <c:v>8.0427456975929967</c:v>
                </c:pt>
                <c:pt idx="47">
                  <c:v>6.0427456975929976</c:v>
                </c:pt>
                <c:pt idx="48">
                  <c:v>4.0427456975929976</c:v>
                </c:pt>
                <c:pt idx="49">
                  <c:v>2.0427456975929976</c:v>
                </c:pt>
                <c:pt idx="50">
                  <c:v>4.2745697592997595E-2</c:v>
                </c:pt>
                <c:pt idx="51">
                  <c:v>-1.9572543024070024</c:v>
                </c:pt>
                <c:pt idx="52">
                  <c:v>-3.9572543024070024</c:v>
                </c:pt>
                <c:pt idx="53">
                  <c:v>-5.9572543024070024</c:v>
                </c:pt>
                <c:pt idx="54">
                  <c:v>-7.9572543024070024</c:v>
                </c:pt>
                <c:pt idx="55">
                  <c:v>-9.9572543024070033</c:v>
                </c:pt>
                <c:pt idx="56">
                  <c:v>-11.957254302407003</c:v>
                </c:pt>
                <c:pt idx="57">
                  <c:v>-13.957254302407003</c:v>
                </c:pt>
                <c:pt idx="58">
                  <c:v>-15.957254302407003</c:v>
                </c:pt>
                <c:pt idx="59">
                  <c:v>-17.957254302407001</c:v>
                </c:pt>
                <c:pt idx="60">
                  <c:v>-19.957254302407001</c:v>
                </c:pt>
                <c:pt idx="61">
                  <c:v>-19.957254302407001</c:v>
                </c:pt>
                <c:pt idx="62">
                  <c:v>-19.957254302407001</c:v>
                </c:pt>
                <c:pt idx="63">
                  <c:v>-19.957254302407001</c:v>
                </c:pt>
                <c:pt idx="64">
                  <c:v>-19.957254302407001</c:v>
                </c:pt>
                <c:pt idx="65">
                  <c:v>-19.957254302407001</c:v>
                </c:pt>
                <c:pt idx="66">
                  <c:v>-19.957254302407001</c:v>
                </c:pt>
                <c:pt idx="67">
                  <c:v>-19.957254302407001</c:v>
                </c:pt>
                <c:pt idx="68">
                  <c:v>-19.957254302407001</c:v>
                </c:pt>
                <c:pt idx="69">
                  <c:v>-19.957254302407001</c:v>
                </c:pt>
                <c:pt idx="70">
                  <c:v>-19.957254302407001</c:v>
                </c:pt>
                <c:pt idx="71">
                  <c:v>-19.957254302407001</c:v>
                </c:pt>
                <c:pt idx="72">
                  <c:v>-19.957254302407001</c:v>
                </c:pt>
                <c:pt idx="73">
                  <c:v>-19.957254302407001</c:v>
                </c:pt>
                <c:pt idx="74">
                  <c:v>-19.957254302407001</c:v>
                </c:pt>
                <c:pt idx="75">
                  <c:v>-19.957254302407001</c:v>
                </c:pt>
                <c:pt idx="76">
                  <c:v>-19.957254302407001</c:v>
                </c:pt>
                <c:pt idx="77">
                  <c:v>-19.957254302407001</c:v>
                </c:pt>
                <c:pt idx="78">
                  <c:v>-19.957254302407001</c:v>
                </c:pt>
                <c:pt idx="79">
                  <c:v>-19.957254302407001</c:v>
                </c:pt>
                <c:pt idx="80">
                  <c:v>-19.957254302407001</c:v>
                </c:pt>
                <c:pt idx="81">
                  <c:v>-19.957254302407001</c:v>
                </c:pt>
                <c:pt idx="82">
                  <c:v>-19.957254302407001</c:v>
                </c:pt>
                <c:pt idx="83">
                  <c:v>-19.957254302407001</c:v>
                </c:pt>
                <c:pt idx="84">
                  <c:v>-19.957254302407001</c:v>
                </c:pt>
                <c:pt idx="85">
                  <c:v>-19.957254302407001</c:v>
                </c:pt>
                <c:pt idx="86">
                  <c:v>-19.957254302407001</c:v>
                </c:pt>
                <c:pt idx="87">
                  <c:v>-19.957254302407001</c:v>
                </c:pt>
                <c:pt idx="88">
                  <c:v>-19.957254302407001</c:v>
                </c:pt>
                <c:pt idx="89">
                  <c:v>-19.957254302407001</c:v>
                </c:pt>
                <c:pt idx="90">
                  <c:v>-19.957254302407001</c:v>
                </c:pt>
                <c:pt idx="91">
                  <c:v>-19.957254302407001</c:v>
                </c:pt>
                <c:pt idx="92">
                  <c:v>-19.957254302407001</c:v>
                </c:pt>
                <c:pt idx="93">
                  <c:v>-19.957254302407001</c:v>
                </c:pt>
                <c:pt idx="94">
                  <c:v>-19.957254302407001</c:v>
                </c:pt>
                <c:pt idx="95">
                  <c:v>-19.957254302407001</c:v>
                </c:pt>
                <c:pt idx="96">
                  <c:v>-19.957254302407001</c:v>
                </c:pt>
                <c:pt idx="97">
                  <c:v>-19.957254302407001</c:v>
                </c:pt>
                <c:pt idx="98">
                  <c:v>-19.957254302407001</c:v>
                </c:pt>
                <c:pt idx="99">
                  <c:v>-19.957254302407001</c:v>
                </c:pt>
                <c:pt idx="100">
                  <c:v>-19.957254302407001</c:v>
                </c:pt>
              </c:numCache>
            </c:numRef>
          </c:yVal>
          <c:smooth val="1"/>
          <c:extLst>
            <c:ext xmlns:c16="http://schemas.microsoft.com/office/drawing/2014/chart" uri="{C3380CC4-5D6E-409C-BE32-E72D297353CC}">
              <c16:uniqueId val="{00000000-5612-4BA1-99A5-CBFBCD806463}"/>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(Straddle)_new (2)'!$A$4:$A$104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(Straddle)_new (2)'!$F$4:$F$104</c:f>
              <c:numCache>
                <c:formatCode>General</c:formatCode>
                <c:ptCount val="101"/>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18</c:v>
                </c:pt>
                <c:pt idx="42">
                  <c:v>16</c:v>
                </c:pt>
                <c:pt idx="43">
                  <c:v>14</c:v>
                </c:pt>
                <c:pt idx="44">
                  <c:v>12</c:v>
                </c:pt>
                <c:pt idx="45">
                  <c:v>10</c:v>
                </c:pt>
                <c:pt idx="46">
                  <c:v>8</c:v>
                </c:pt>
                <c:pt idx="47">
                  <c:v>6</c:v>
                </c:pt>
                <c:pt idx="48">
                  <c:v>4</c:v>
                </c:pt>
                <c:pt idx="49">
                  <c:v>2</c:v>
                </c:pt>
                <c:pt idx="50">
                  <c:v>0</c:v>
                </c:pt>
                <c:pt idx="51">
                  <c:v>2</c:v>
                </c:pt>
                <c:pt idx="52">
                  <c:v>4</c:v>
                </c:pt>
                <c:pt idx="53">
                  <c:v>6</c:v>
                </c:pt>
                <c:pt idx="54">
                  <c:v>8</c:v>
                </c:pt>
                <c:pt idx="55">
                  <c:v>10</c:v>
                </c:pt>
                <c:pt idx="56">
                  <c:v>12</c:v>
                </c:pt>
                <c:pt idx="57">
                  <c:v>14</c:v>
                </c:pt>
                <c:pt idx="58">
                  <c:v>16</c:v>
                </c:pt>
                <c:pt idx="59">
                  <c:v>18</c:v>
                </c:pt>
                <c:pt idx="60">
                  <c:v>20</c:v>
                </c:pt>
                <c:pt idx="61">
                  <c:v>20</c:v>
                </c:pt>
                <c:pt idx="62">
                  <c:v>20</c:v>
                </c:pt>
                <c:pt idx="63">
                  <c:v>20</c:v>
                </c:pt>
                <c:pt idx="64">
                  <c:v>20</c:v>
                </c:pt>
                <c:pt idx="65">
                  <c:v>20</c:v>
                </c:pt>
                <c:pt idx="66">
                  <c:v>20</c:v>
                </c:pt>
                <c:pt idx="67">
                  <c:v>20</c:v>
                </c:pt>
                <c:pt idx="68">
                  <c:v>20</c:v>
                </c:pt>
                <c:pt idx="69">
                  <c:v>20</c:v>
                </c:pt>
                <c:pt idx="70">
                  <c:v>20</c:v>
                </c:pt>
                <c:pt idx="71">
                  <c:v>20</c:v>
                </c:pt>
                <c:pt idx="72">
                  <c:v>20</c:v>
                </c:pt>
                <c:pt idx="73">
                  <c:v>20</c:v>
                </c:pt>
                <c:pt idx="74">
                  <c:v>20</c:v>
                </c:pt>
                <c:pt idx="75">
                  <c:v>20</c:v>
                </c:pt>
                <c:pt idx="76">
                  <c:v>20</c:v>
                </c:pt>
                <c:pt idx="77">
                  <c:v>20</c:v>
                </c:pt>
                <c:pt idx="78">
                  <c:v>20</c:v>
                </c:pt>
                <c:pt idx="79">
                  <c:v>20</c:v>
                </c:pt>
                <c:pt idx="80">
                  <c:v>20</c:v>
                </c:pt>
                <c:pt idx="81">
                  <c:v>20</c:v>
                </c:pt>
                <c:pt idx="82">
                  <c:v>20</c:v>
                </c:pt>
                <c:pt idx="83">
                  <c:v>20</c:v>
                </c:pt>
                <c:pt idx="84">
                  <c:v>20</c:v>
                </c:pt>
                <c:pt idx="85">
                  <c:v>20</c:v>
                </c:pt>
                <c:pt idx="86">
                  <c:v>20</c:v>
                </c:pt>
                <c:pt idx="87">
                  <c:v>20</c:v>
                </c:pt>
                <c:pt idx="88">
                  <c:v>20</c:v>
                </c:pt>
                <c:pt idx="89">
                  <c:v>20</c:v>
                </c:pt>
                <c:pt idx="90">
                  <c:v>20</c:v>
                </c:pt>
                <c:pt idx="91">
                  <c:v>20</c:v>
                </c:pt>
                <c:pt idx="92">
                  <c:v>20</c:v>
                </c:pt>
                <c:pt idx="93">
                  <c:v>20</c:v>
                </c:pt>
                <c:pt idx="94">
                  <c:v>20</c:v>
                </c:pt>
                <c:pt idx="95">
                  <c:v>20</c:v>
                </c:pt>
                <c:pt idx="96">
                  <c:v>20</c:v>
                </c:pt>
                <c:pt idx="97">
                  <c:v>20</c:v>
                </c:pt>
                <c:pt idx="98">
                  <c:v>20</c:v>
                </c:pt>
                <c:pt idx="99">
                  <c:v>20</c:v>
                </c:pt>
                <c:pt idx="100">
                  <c:v>20</c:v>
                </c:pt>
              </c:numCache>
            </c:numRef>
          </c:yVal>
          <c:smooth val="1"/>
          <c:extLst>
            <c:ext xmlns:c16="http://schemas.microsoft.com/office/drawing/2014/chart" uri="{C3380CC4-5D6E-409C-BE32-E72D297353CC}">
              <c16:uniqueId val="{00000000-CD67-41EC-AE64-3EC42F122B32}"/>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(Straddle)_new'!$A$4:$A$104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(Straddle)_new'!$F$4:$F$104</c:f>
              <c:numCache>
                <c:formatCode>General</c:formatCode>
                <c:ptCount val="101"/>
                <c:pt idx="0">
                  <c:v>90.214131823274244</c:v>
                </c:pt>
                <c:pt idx="1">
                  <c:v>88.214131823274244</c:v>
                </c:pt>
                <c:pt idx="2">
                  <c:v>86.214131823274244</c:v>
                </c:pt>
                <c:pt idx="3">
                  <c:v>84.214131823274244</c:v>
                </c:pt>
                <c:pt idx="4">
                  <c:v>82.214131823274244</c:v>
                </c:pt>
                <c:pt idx="5">
                  <c:v>80.214131823274244</c:v>
                </c:pt>
                <c:pt idx="6">
                  <c:v>78.214131823274244</c:v>
                </c:pt>
                <c:pt idx="7">
                  <c:v>76.214131823274244</c:v>
                </c:pt>
                <c:pt idx="8">
                  <c:v>74.214131823274244</c:v>
                </c:pt>
                <c:pt idx="9">
                  <c:v>72.214131823274244</c:v>
                </c:pt>
                <c:pt idx="10">
                  <c:v>70.214131823274244</c:v>
                </c:pt>
                <c:pt idx="11">
                  <c:v>68.214131823274244</c:v>
                </c:pt>
                <c:pt idx="12">
                  <c:v>66.214131823274244</c:v>
                </c:pt>
                <c:pt idx="13">
                  <c:v>64.214131823274244</c:v>
                </c:pt>
                <c:pt idx="14">
                  <c:v>62.214131823274251</c:v>
                </c:pt>
                <c:pt idx="15">
                  <c:v>60.214131823274251</c:v>
                </c:pt>
                <c:pt idx="16">
                  <c:v>58.214131823274244</c:v>
                </c:pt>
                <c:pt idx="17">
                  <c:v>56.214131823274244</c:v>
                </c:pt>
                <c:pt idx="18">
                  <c:v>54.214131823274244</c:v>
                </c:pt>
                <c:pt idx="19">
                  <c:v>52.214131823274244</c:v>
                </c:pt>
                <c:pt idx="20">
                  <c:v>50.214131823274244</c:v>
                </c:pt>
                <c:pt idx="21">
                  <c:v>48.214131823274244</c:v>
                </c:pt>
                <c:pt idx="22">
                  <c:v>46.214131823274244</c:v>
                </c:pt>
                <c:pt idx="23">
                  <c:v>44.214131823274244</c:v>
                </c:pt>
                <c:pt idx="24">
                  <c:v>42.214131823274244</c:v>
                </c:pt>
                <c:pt idx="25">
                  <c:v>40.214131823274244</c:v>
                </c:pt>
                <c:pt idx="26">
                  <c:v>38.214131823274244</c:v>
                </c:pt>
                <c:pt idx="27">
                  <c:v>36.214131823274244</c:v>
                </c:pt>
                <c:pt idx="28">
                  <c:v>34.214131823274244</c:v>
                </c:pt>
                <c:pt idx="29">
                  <c:v>32.214131823274244</c:v>
                </c:pt>
                <c:pt idx="30">
                  <c:v>30.214131823274244</c:v>
                </c:pt>
                <c:pt idx="31">
                  <c:v>28.214131823274244</c:v>
                </c:pt>
                <c:pt idx="32">
                  <c:v>26.214131823274244</c:v>
                </c:pt>
                <c:pt idx="33">
                  <c:v>24.214131823274244</c:v>
                </c:pt>
                <c:pt idx="34">
                  <c:v>22.214131823274244</c:v>
                </c:pt>
                <c:pt idx="35">
                  <c:v>20.214131823274244</c:v>
                </c:pt>
                <c:pt idx="36">
                  <c:v>18.214131823274244</c:v>
                </c:pt>
                <c:pt idx="37">
                  <c:v>16.214131823274244</c:v>
                </c:pt>
                <c:pt idx="38">
                  <c:v>14.214131823274244</c:v>
                </c:pt>
                <c:pt idx="39">
                  <c:v>12.214131823274244</c:v>
                </c:pt>
                <c:pt idx="40">
                  <c:v>10.214131823274244</c:v>
                </c:pt>
                <c:pt idx="41">
                  <c:v>8.2141318232742435</c:v>
                </c:pt>
                <c:pt idx="42">
                  <c:v>6.2141318232742426</c:v>
                </c:pt>
                <c:pt idx="43">
                  <c:v>4.2141318232742426</c:v>
                </c:pt>
                <c:pt idx="44">
                  <c:v>2.2141318232742426</c:v>
                </c:pt>
                <c:pt idx="45">
                  <c:v>0.21413182327424263</c:v>
                </c:pt>
                <c:pt idx="46">
                  <c:v>-1.7858681767257574</c:v>
                </c:pt>
                <c:pt idx="47">
                  <c:v>-3.7858681767257574</c:v>
                </c:pt>
                <c:pt idx="48">
                  <c:v>-5.7858681767257574</c:v>
                </c:pt>
                <c:pt idx="49">
                  <c:v>-7.7858681767257574</c:v>
                </c:pt>
                <c:pt idx="50">
                  <c:v>-9.7858681767257565</c:v>
                </c:pt>
                <c:pt idx="51">
                  <c:v>-7.7858681767257574</c:v>
                </c:pt>
                <c:pt idx="52">
                  <c:v>-5.7858681767257574</c:v>
                </c:pt>
                <c:pt idx="53">
                  <c:v>-3.7858681767257574</c:v>
                </c:pt>
                <c:pt idx="54">
                  <c:v>-1.7858681767257574</c:v>
                </c:pt>
                <c:pt idx="55">
                  <c:v>0.21413182327424263</c:v>
                </c:pt>
                <c:pt idx="56">
                  <c:v>2.2141318232742426</c:v>
                </c:pt>
                <c:pt idx="57">
                  <c:v>4.2141318232742435</c:v>
                </c:pt>
                <c:pt idx="58">
                  <c:v>6.2141318232742435</c:v>
                </c:pt>
                <c:pt idx="59">
                  <c:v>8.2141318232742435</c:v>
                </c:pt>
                <c:pt idx="60">
                  <c:v>10.214131823274244</c:v>
                </c:pt>
                <c:pt idx="61">
                  <c:v>12.214131823274244</c:v>
                </c:pt>
                <c:pt idx="62">
                  <c:v>14.214131823274244</c:v>
                </c:pt>
                <c:pt idx="63">
                  <c:v>16.214131823274244</c:v>
                </c:pt>
                <c:pt idx="64">
                  <c:v>18.214131823274244</c:v>
                </c:pt>
                <c:pt idx="65">
                  <c:v>20.214131823274244</c:v>
                </c:pt>
                <c:pt idx="66">
                  <c:v>22.214131823274244</c:v>
                </c:pt>
                <c:pt idx="67">
                  <c:v>24.214131823274244</c:v>
                </c:pt>
                <c:pt idx="68">
                  <c:v>26.214131823274244</c:v>
                </c:pt>
                <c:pt idx="69">
                  <c:v>28.214131823274244</c:v>
                </c:pt>
                <c:pt idx="70">
                  <c:v>30.214131823274244</c:v>
                </c:pt>
                <c:pt idx="71">
                  <c:v>32.214131823274244</c:v>
                </c:pt>
                <c:pt idx="72">
                  <c:v>34.214131823274244</c:v>
                </c:pt>
                <c:pt idx="73">
                  <c:v>36.214131823274244</c:v>
                </c:pt>
                <c:pt idx="74">
                  <c:v>38.214131823274244</c:v>
                </c:pt>
                <c:pt idx="75">
                  <c:v>40.214131823274244</c:v>
                </c:pt>
                <c:pt idx="76">
                  <c:v>42.214131823274244</c:v>
                </c:pt>
                <c:pt idx="77">
                  <c:v>44.214131823274244</c:v>
                </c:pt>
                <c:pt idx="78">
                  <c:v>46.214131823274244</c:v>
                </c:pt>
                <c:pt idx="79">
                  <c:v>48.214131823274244</c:v>
                </c:pt>
                <c:pt idx="80">
                  <c:v>50.214131823274244</c:v>
                </c:pt>
                <c:pt idx="81">
                  <c:v>52.214131823274244</c:v>
                </c:pt>
                <c:pt idx="82">
                  <c:v>54.214131823274244</c:v>
                </c:pt>
                <c:pt idx="83">
                  <c:v>56.214131823274244</c:v>
                </c:pt>
                <c:pt idx="84">
                  <c:v>58.214131823274244</c:v>
                </c:pt>
                <c:pt idx="85">
                  <c:v>60.214131823274236</c:v>
                </c:pt>
                <c:pt idx="86">
                  <c:v>62.214131823274236</c:v>
                </c:pt>
                <c:pt idx="87">
                  <c:v>64.214131823274244</c:v>
                </c:pt>
                <c:pt idx="88">
                  <c:v>66.214131823274244</c:v>
                </c:pt>
                <c:pt idx="89">
                  <c:v>68.214131823274244</c:v>
                </c:pt>
                <c:pt idx="90">
                  <c:v>70.214131823274244</c:v>
                </c:pt>
                <c:pt idx="91">
                  <c:v>72.214131823274244</c:v>
                </c:pt>
                <c:pt idx="92">
                  <c:v>74.214131823274244</c:v>
                </c:pt>
                <c:pt idx="93">
                  <c:v>76.214131823274244</c:v>
                </c:pt>
                <c:pt idx="94">
                  <c:v>78.214131823274244</c:v>
                </c:pt>
                <c:pt idx="95">
                  <c:v>80.214131823274244</c:v>
                </c:pt>
                <c:pt idx="96">
                  <c:v>82.214131823274244</c:v>
                </c:pt>
                <c:pt idx="97">
                  <c:v>84.214131823274244</c:v>
                </c:pt>
                <c:pt idx="98">
                  <c:v>86.214131823274244</c:v>
                </c:pt>
                <c:pt idx="99">
                  <c:v>88.214131823274244</c:v>
                </c:pt>
                <c:pt idx="100">
                  <c:v>90.214131823274244</c:v>
                </c:pt>
              </c:numCache>
            </c:numRef>
          </c:yVal>
          <c:smooth val="1"/>
          <c:extLst>
            <c:ext xmlns:c16="http://schemas.microsoft.com/office/drawing/2014/chart" uri="{C3380CC4-5D6E-409C-BE32-E72D297353CC}">
              <c16:uniqueId val="{00000000-D89A-4D3A-AB38-26881E138D46}"/>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(Strangle)_new'!$A$4:$A$104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(Strangle)_new'!$F$4:$F$104</c:f>
              <c:numCache>
                <c:formatCode>General</c:formatCode>
                <c:ptCount val="101"/>
                <c:pt idx="0">
                  <c:v>74.802049207121456</c:v>
                </c:pt>
                <c:pt idx="1">
                  <c:v>72.802049207121456</c:v>
                </c:pt>
                <c:pt idx="2">
                  <c:v>70.802049207121456</c:v>
                </c:pt>
                <c:pt idx="3">
                  <c:v>68.802049207121456</c:v>
                </c:pt>
                <c:pt idx="4">
                  <c:v>66.802049207121456</c:v>
                </c:pt>
                <c:pt idx="5">
                  <c:v>64.802049207121456</c:v>
                </c:pt>
                <c:pt idx="6">
                  <c:v>62.802049207121463</c:v>
                </c:pt>
                <c:pt idx="7">
                  <c:v>60.802049207121463</c:v>
                </c:pt>
                <c:pt idx="8">
                  <c:v>58.80204920712147</c:v>
                </c:pt>
                <c:pt idx="9">
                  <c:v>56.80204920712147</c:v>
                </c:pt>
                <c:pt idx="10">
                  <c:v>54.80204920712147</c:v>
                </c:pt>
                <c:pt idx="11">
                  <c:v>52.80204920712147</c:v>
                </c:pt>
                <c:pt idx="12">
                  <c:v>50.80204920712147</c:v>
                </c:pt>
                <c:pt idx="13">
                  <c:v>48.80204920712147</c:v>
                </c:pt>
                <c:pt idx="14">
                  <c:v>46.80204920712147</c:v>
                </c:pt>
                <c:pt idx="15">
                  <c:v>44.80204920712147</c:v>
                </c:pt>
                <c:pt idx="16">
                  <c:v>42.80204920712147</c:v>
                </c:pt>
                <c:pt idx="17">
                  <c:v>40.80204920712147</c:v>
                </c:pt>
                <c:pt idx="18">
                  <c:v>38.80204920712147</c:v>
                </c:pt>
                <c:pt idx="19">
                  <c:v>36.80204920712147</c:v>
                </c:pt>
                <c:pt idx="20">
                  <c:v>34.80204920712147</c:v>
                </c:pt>
                <c:pt idx="21">
                  <c:v>32.80204920712147</c:v>
                </c:pt>
                <c:pt idx="22">
                  <c:v>30.80204920712147</c:v>
                </c:pt>
                <c:pt idx="23">
                  <c:v>28.80204920712147</c:v>
                </c:pt>
                <c:pt idx="24">
                  <c:v>26.802049207121467</c:v>
                </c:pt>
                <c:pt idx="25">
                  <c:v>24.802049207121467</c:v>
                </c:pt>
                <c:pt idx="26">
                  <c:v>22.802049207121467</c:v>
                </c:pt>
                <c:pt idx="27">
                  <c:v>20.802049207121467</c:v>
                </c:pt>
                <c:pt idx="28">
                  <c:v>18.802049207121467</c:v>
                </c:pt>
                <c:pt idx="29">
                  <c:v>16.802049207121467</c:v>
                </c:pt>
                <c:pt idx="30">
                  <c:v>14.802049207121467</c:v>
                </c:pt>
                <c:pt idx="31">
                  <c:v>12.802049207121467</c:v>
                </c:pt>
                <c:pt idx="32">
                  <c:v>10.802049207121467</c:v>
                </c:pt>
                <c:pt idx="33">
                  <c:v>8.8020492071214669</c:v>
                </c:pt>
                <c:pt idx="34">
                  <c:v>6.8020492071214678</c:v>
                </c:pt>
                <c:pt idx="35">
                  <c:v>4.8020492071214678</c:v>
                </c:pt>
                <c:pt idx="36">
                  <c:v>2.8020492071214669</c:v>
                </c:pt>
                <c:pt idx="37">
                  <c:v>0.80204920712146688</c:v>
                </c:pt>
                <c:pt idx="38">
                  <c:v>-1.1979507928785331</c:v>
                </c:pt>
                <c:pt idx="39">
                  <c:v>-3.1979507928785331</c:v>
                </c:pt>
                <c:pt idx="40">
                  <c:v>-5.1979507928785331</c:v>
                </c:pt>
                <c:pt idx="41">
                  <c:v>-5.1979507928785331</c:v>
                </c:pt>
                <c:pt idx="42">
                  <c:v>-5.1979507928785331</c:v>
                </c:pt>
                <c:pt idx="43">
                  <c:v>-5.1979507928785331</c:v>
                </c:pt>
                <c:pt idx="44">
                  <c:v>-5.1979507928785331</c:v>
                </c:pt>
                <c:pt idx="45">
                  <c:v>-5.1979507928785331</c:v>
                </c:pt>
                <c:pt idx="46">
                  <c:v>-5.1979507928785331</c:v>
                </c:pt>
                <c:pt idx="47">
                  <c:v>-5.1979507928785331</c:v>
                </c:pt>
                <c:pt idx="48">
                  <c:v>-5.1979507928785331</c:v>
                </c:pt>
                <c:pt idx="49">
                  <c:v>-5.1979507928785331</c:v>
                </c:pt>
                <c:pt idx="50">
                  <c:v>-5.1979507928785331</c:v>
                </c:pt>
                <c:pt idx="51">
                  <c:v>-3.1979507928785331</c:v>
                </c:pt>
                <c:pt idx="52">
                  <c:v>-1.1979507928785331</c:v>
                </c:pt>
                <c:pt idx="53">
                  <c:v>0.80204920712146688</c:v>
                </c:pt>
                <c:pt idx="54">
                  <c:v>2.8020492071214669</c:v>
                </c:pt>
                <c:pt idx="55">
                  <c:v>4.8020492071214669</c:v>
                </c:pt>
                <c:pt idx="56">
                  <c:v>6.8020492071214669</c:v>
                </c:pt>
                <c:pt idx="57">
                  <c:v>8.8020492071214687</c:v>
                </c:pt>
                <c:pt idx="58">
                  <c:v>10.802049207121469</c:v>
                </c:pt>
                <c:pt idx="59">
                  <c:v>12.802049207121469</c:v>
                </c:pt>
                <c:pt idx="60">
                  <c:v>14.802049207121469</c:v>
                </c:pt>
                <c:pt idx="61">
                  <c:v>16.802049207121467</c:v>
                </c:pt>
                <c:pt idx="62">
                  <c:v>18.802049207121467</c:v>
                </c:pt>
                <c:pt idx="63">
                  <c:v>20.802049207121467</c:v>
                </c:pt>
                <c:pt idx="64">
                  <c:v>22.802049207121467</c:v>
                </c:pt>
                <c:pt idx="65">
                  <c:v>24.802049207121467</c:v>
                </c:pt>
                <c:pt idx="66">
                  <c:v>26.802049207121467</c:v>
                </c:pt>
                <c:pt idx="67">
                  <c:v>28.802049207121467</c:v>
                </c:pt>
                <c:pt idx="68">
                  <c:v>30.802049207121467</c:v>
                </c:pt>
                <c:pt idx="69">
                  <c:v>32.80204920712147</c:v>
                </c:pt>
                <c:pt idx="70">
                  <c:v>34.80204920712147</c:v>
                </c:pt>
                <c:pt idx="71">
                  <c:v>36.80204920712147</c:v>
                </c:pt>
                <c:pt idx="72">
                  <c:v>38.80204920712147</c:v>
                </c:pt>
                <c:pt idx="73">
                  <c:v>40.80204920712147</c:v>
                </c:pt>
                <c:pt idx="74">
                  <c:v>42.80204920712147</c:v>
                </c:pt>
                <c:pt idx="75">
                  <c:v>44.80204920712147</c:v>
                </c:pt>
                <c:pt idx="76">
                  <c:v>46.80204920712147</c:v>
                </c:pt>
                <c:pt idx="77">
                  <c:v>48.80204920712147</c:v>
                </c:pt>
                <c:pt idx="78">
                  <c:v>50.80204920712147</c:v>
                </c:pt>
                <c:pt idx="79">
                  <c:v>52.80204920712147</c:v>
                </c:pt>
                <c:pt idx="80">
                  <c:v>54.80204920712147</c:v>
                </c:pt>
                <c:pt idx="81">
                  <c:v>56.80204920712147</c:v>
                </c:pt>
                <c:pt idx="82">
                  <c:v>58.80204920712147</c:v>
                </c:pt>
                <c:pt idx="83">
                  <c:v>60.80204920712147</c:v>
                </c:pt>
                <c:pt idx="84">
                  <c:v>62.80204920712147</c:v>
                </c:pt>
                <c:pt idx="85">
                  <c:v>64.802049207121456</c:v>
                </c:pt>
                <c:pt idx="86">
                  <c:v>66.802049207121456</c:v>
                </c:pt>
                <c:pt idx="87">
                  <c:v>68.802049207121456</c:v>
                </c:pt>
                <c:pt idx="88">
                  <c:v>70.802049207121456</c:v>
                </c:pt>
                <c:pt idx="89">
                  <c:v>72.802049207121456</c:v>
                </c:pt>
                <c:pt idx="90">
                  <c:v>74.802049207121456</c:v>
                </c:pt>
                <c:pt idx="91">
                  <c:v>76.802049207121456</c:v>
                </c:pt>
                <c:pt idx="92">
                  <c:v>78.802049207121456</c:v>
                </c:pt>
                <c:pt idx="93">
                  <c:v>80.802049207121456</c:v>
                </c:pt>
                <c:pt idx="94">
                  <c:v>82.802049207121456</c:v>
                </c:pt>
                <c:pt idx="95">
                  <c:v>84.802049207121456</c:v>
                </c:pt>
                <c:pt idx="96">
                  <c:v>86.802049207121456</c:v>
                </c:pt>
                <c:pt idx="97">
                  <c:v>88.802049207121456</c:v>
                </c:pt>
                <c:pt idx="98">
                  <c:v>90.802049207121456</c:v>
                </c:pt>
                <c:pt idx="99">
                  <c:v>92.802049207121456</c:v>
                </c:pt>
                <c:pt idx="100">
                  <c:v>94.802049207121456</c:v>
                </c:pt>
              </c:numCache>
            </c:numRef>
          </c:yVal>
          <c:smooth val="1"/>
          <c:extLst>
            <c:ext xmlns:c16="http://schemas.microsoft.com/office/drawing/2014/chart" uri="{C3380CC4-5D6E-409C-BE32-E72D297353CC}">
              <c16:uniqueId val="{00000000-D402-4057-B934-0E7C72AB6632}"/>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Front-End</a:t>
            </a:r>
            <a:r>
              <a:rPr lang="en-US" baseline="0"/>
              <a:t> </a:t>
            </a:r>
            <a:r>
              <a:rPr lang="en-US"/>
              <a:t>Maturity</a:t>
            </a:r>
          </a:p>
        </c:rich>
      </c:tx>
      <c:overlay val="0"/>
    </c:title>
    <c:autoTitleDeleted val="0"/>
    <c:plotArea>
      <c:layout/>
      <c:scatterChart>
        <c:scatterStyle val="smoothMarker"/>
        <c:varyColors val="0"/>
        <c:ser>
          <c:idx val="2"/>
          <c:order val="0"/>
          <c:marker>
            <c:symbol val="none"/>
          </c:marker>
          <c:xVal>
            <c:numRef>
              <c:f>'Slide 126 (Calendar Spread)_new'!$A$4:$A$104</c:f>
              <c:numCache>
                <c:formatCode>General</c:formatCode>
                <c:ptCount val="101"/>
                <c:pt idx="0">
                  <c:v>40</c:v>
                </c:pt>
                <c:pt idx="1">
                  <c:v>41.5</c:v>
                </c:pt>
                <c:pt idx="2">
                  <c:v>43</c:v>
                </c:pt>
                <c:pt idx="3">
                  <c:v>44.5</c:v>
                </c:pt>
                <c:pt idx="4">
                  <c:v>46</c:v>
                </c:pt>
                <c:pt idx="5">
                  <c:v>47.5</c:v>
                </c:pt>
                <c:pt idx="6">
                  <c:v>49</c:v>
                </c:pt>
                <c:pt idx="7">
                  <c:v>50.5</c:v>
                </c:pt>
                <c:pt idx="8">
                  <c:v>52</c:v>
                </c:pt>
                <c:pt idx="9">
                  <c:v>53.5</c:v>
                </c:pt>
                <c:pt idx="10">
                  <c:v>55</c:v>
                </c:pt>
                <c:pt idx="11">
                  <c:v>56.5</c:v>
                </c:pt>
                <c:pt idx="12">
                  <c:v>58</c:v>
                </c:pt>
                <c:pt idx="13">
                  <c:v>59.5</c:v>
                </c:pt>
                <c:pt idx="14">
                  <c:v>61</c:v>
                </c:pt>
                <c:pt idx="15">
                  <c:v>62.5</c:v>
                </c:pt>
                <c:pt idx="16">
                  <c:v>64</c:v>
                </c:pt>
                <c:pt idx="17">
                  <c:v>65.5</c:v>
                </c:pt>
                <c:pt idx="18">
                  <c:v>67</c:v>
                </c:pt>
                <c:pt idx="19">
                  <c:v>68.5</c:v>
                </c:pt>
                <c:pt idx="20">
                  <c:v>70</c:v>
                </c:pt>
                <c:pt idx="21">
                  <c:v>71.5</c:v>
                </c:pt>
                <c:pt idx="22">
                  <c:v>73</c:v>
                </c:pt>
                <c:pt idx="23">
                  <c:v>74.5</c:v>
                </c:pt>
                <c:pt idx="24">
                  <c:v>76</c:v>
                </c:pt>
                <c:pt idx="25">
                  <c:v>77.5</c:v>
                </c:pt>
                <c:pt idx="26">
                  <c:v>79</c:v>
                </c:pt>
                <c:pt idx="27">
                  <c:v>80.5</c:v>
                </c:pt>
                <c:pt idx="28">
                  <c:v>82</c:v>
                </c:pt>
                <c:pt idx="29">
                  <c:v>83.5</c:v>
                </c:pt>
                <c:pt idx="30">
                  <c:v>85</c:v>
                </c:pt>
                <c:pt idx="31">
                  <c:v>86.5</c:v>
                </c:pt>
                <c:pt idx="32">
                  <c:v>88</c:v>
                </c:pt>
                <c:pt idx="33">
                  <c:v>89.5</c:v>
                </c:pt>
                <c:pt idx="34">
                  <c:v>91</c:v>
                </c:pt>
                <c:pt idx="35">
                  <c:v>92.5</c:v>
                </c:pt>
                <c:pt idx="36">
                  <c:v>94</c:v>
                </c:pt>
                <c:pt idx="37">
                  <c:v>95.5</c:v>
                </c:pt>
                <c:pt idx="38">
                  <c:v>97</c:v>
                </c:pt>
                <c:pt idx="39">
                  <c:v>98.5</c:v>
                </c:pt>
                <c:pt idx="40">
                  <c:v>100</c:v>
                </c:pt>
                <c:pt idx="41">
                  <c:v>101.5</c:v>
                </c:pt>
                <c:pt idx="42">
                  <c:v>103</c:v>
                </c:pt>
                <c:pt idx="43">
                  <c:v>104.5</c:v>
                </c:pt>
                <c:pt idx="44">
                  <c:v>106</c:v>
                </c:pt>
                <c:pt idx="45">
                  <c:v>107.5</c:v>
                </c:pt>
                <c:pt idx="46">
                  <c:v>109</c:v>
                </c:pt>
                <c:pt idx="47">
                  <c:v>110.5</c:v>
                </c:pt>
                <c:pt idx="48">
                  <c:v>112</c:v>
                </c:pt>
                <c:pt idx="49">
                  <c:v>113.5</c:v>
                </c:pt>
                <c:pt idx="50">
                  <c:v>115</c:v>
                </c:pt>
                <c:pt idx="51">
                  <c:v>116.5</c:v>
                </c:pt>
                <c:pt idx="52">
                  <c:v>118</c:v>
                </c:pt>
                <c:pt idx="53">
                  <c:v>119.5</c:v>
                </c:pt>
                <c:pt idx="54">
                  <c:v>121</c:v>
                </c:pt>
                <c:pt idx="55">
                  <c:v>122.5</c:v>
                </c:pt>
                <c:pt idx="56">
                  <c:v>124</c:v>
                </c:pt>
                <c:pt idx="57">
                  <c:v>125.5</c:v>
                </c:pt>
                <c:pt idx="58">
                  <c:v>127</c:v>
                </c:pt>
                <c:pt idx="59">
                  <c:v>128.5</c:v>
                </c:pt>
                <c:pt idx="60">
                  <c:v>130</c:v>
                </c:pt>
                <c:pt idx="61">
                  <c:v>131.5</c:v>
                </c:pt>
                <c:pt idx="62">
                  <c:v>133</c:v>
                </c:pt>
                <c:pt idx="63">
                  <c:v>134.5</c:v>
                </c:pt>
                <c:pt idx="64">
                  <c:v>136</c:v>
                </c:pt>
                <c:pt idx="65">
                  <c:v>137.5</c:v>
                </c:pt>
                <c:pt idx="66">
                  <c:v>139</c:v>
                </c:pt>
                <c:pt idx="67">
                  <c:v>140.5</c:v>
                </c:pt>
                <c:pt idx="68">
                  <c:v>142</c:v>
                </c:pt>
                <c:pt idx="69">
                  <c:v>143.5</c:v>
                </c:pt>
                <c:pt idx="70">
                  <c:v>145</c:v>
                </c:pt>
                <c:pt idx="71">
                  <c:v>146.5</c:v>
                </c:pt>
                <c:pt idx="72">
                  <c:v>148</c:v>
                </c:pt>
                <c:pt idx="73">
                  <c:v>149.5</c:v>
                </c:pt>
                <c:pt idx="74">
                  <c:v>151</c:v>
                </c:pt>
                <c:pt idx="75">
                  <c:v>152.5</c:v>
                </c:pt>
                <c:pt idx="76">
                  <c:v>154</c:v>
                </c:pt>
                <c:pt idx="77">
                  <c:v>155.5</c:v>
                </c:pt>
                <c:pt idx="78">
                  <c:v>157</c:v>
                </c:pt>
                <c:pt idx="79">
                  <c:v>158.5</c:v>
                </c:pt>
                <c:pt idx="80">
                  <c:v>160</c:v>
                </c:pt>
                <c:pt idx="81">
                  <c:v>161.5</c:v>
                </c:pt>
                <c:pt idx="82">
                  <c:v>163</c:v>
                </c:pt>
                <c:pt idx="83">
                  <c:v>164.5</c:v>
                </c:pt>
                <c:pt idx="84">
                  <c:v>166</c:v>
                </c:pt>
                <c:pt idx="85">
                  <c:v>167.5</c:v>
                </c:pt>
                <c:pt idx="86">
                  <c:v>169</c:v>
                </c:pt>
                <c:pt idx="87">
                  <c:v>170.5</c:v>
                </c:pt>
                <c:pt idx="88">
                  <c:v>172</c:v>
                </c:pt>
                <c:pt idx="89">
                  <c:v>173.5</c:v>
                </c:pt>
                <c:pt idx="90">
                  <c:v>175</c:v>
                </c:pt>
                <c:pt idx="91">
                  <c:v>176.5</c:v>
                </c:pt>
                <c:pt idx="92">
                  <c:v>178</c:v>
                </c:pt>
                <c:pt idx="93">
                  <c:v>179.5</c:v>
                </c:pt>
                <c:pt idx="94">
                  <c:v>181</c:v>
                </c:pt>
                <c:pt idx="95">
                  <c:v>182.5</c:v>
                </c:pt>
                <c:pt idx="96">
                  <c:v>184</c:v>
                </c:pt>
                <c:pt idx="97">
                  <c:v>185.5</c:v>
                </c:pt>
                <c:pt idx="98">
                  <c:v>187</c:v>
                </c:pt>
                <c:pt idx="99">
                  <c:v>188.5</c:v>
                </c:pt>
                <c:pt idx="100">
                  <c:v>190</c:v>
                </c:pt>
              </c:numCache>
            </c:numRef>
          </c:xVal>
          <c:yVal>
            <c:numRef>
              <c:f>'Slide 126 (Calendar Spread)_new'!$J$4:$J$104</c:f>
              <c:numCache>
                <c:formatCode>General</c:formatCode>
                <c:ptCount val="101"/>
                <c:pt idx="0">
                  <c:v>-1.1057893910773979</c:v>
                </c:pt>
                <c:pt idx="1">
                  <c:v>-1.1057893910773979</c:v>
                </c:pt>
                <c:pt idx="2">
                  <c:v>-1.1057893910773979</c:v>
                </c:pt>
                <c:pt idx="3">
                  <c:v>-1.1057893910773975</c:v>
                </c:pt>
                <c:pt idx="4">
                  <c:v>-1.1057893910773946</c:v>
                </c:pt>
                <c:pt idx="5">
                  <c:v>-1.1057893910773702</c:v>
                </c:pt>
                <c:pt idx="6">
                  <c:v>-1.1057893910771999</c:v>
                </c:pt>
                <c:pt idx="7">
                  <c:v>-1.1057893910761458</c:v>
                </c:pt>
                <c:pt idx="8">
                  <c:v>-1.1057893910703083</c:v>
                </c:pt>
                <c:pt idx="9">
                  <c:v>-1.1057893910411492</c:v>
                </c:pt>
                <c:pt idx="10">
                  <c:v>-1.1057893909088272</c:v>
                </c:pt>
                <c:pt idx="11">
                  <c:v>-1.1057893903597209</c:v>
                </c:pt>
                <c:pt idx="12">
                  <c:v>-1.1057893882634204</c:v>
                </c:pt>
                <c:pt idx="13">
                  <c:v>-1.1057893808605175</c:v>
                </c:pt>
                <c:pt idx="14">
                  <c:v>-1.1057893565563506</c:v>
                </c:pt>
                <c:pt idx="15">
                  <c:v>-1.1057892820337043</c:v>
                </c:pt>
                <c:pt idx="16">
                  <c:v>-1.1057890677139253</c:v>
                </c:pt>
                <c:pt idx="17">
                  <c:v>-1.1057884873567059</c:v>
                </c:pt>
                <c:pt idx="18">
                  <c:v>-1.1057870022766985</c:v>
                </c:pt>
                <c:pt idx="19">
                  <c:v>-1.1057833992296884</c:v>
                </c:pt>
                <c:pt idx="20">
                  <c:v>-1.1057750855505224</c:v>
                </c:pt>
                <c:pt idx="21">
                  <c:v>-1.1057567893551048</c:v>
                </c:pt>
                <c:pt idx="22">
                  <c:v>-1.1057182836011361</c:v>
                </c:pt>
                <c:pt idx="23">
                  <c:v>-1.1056405943409693</c:v>
                </c:pt>
                <c:pt idx="24">
                  <c:v>-1.1054899796890989</c:v>
                </c:pt>
                <c:pt idx="25">
                  <c:v>-1.1052088037001173</c:v>
                </c:pt>
                <c:pt idx="26">
                  <c:v>-1.1047023180655879</c:v>
                </c:pt>
                <c:pt idx="27">
                  <c:v>-1.1038203529346347</c:v>
                </c:pt>
                <c:pt idx="28">
                  <c:v>-1.1023330563254425</c:v>
                </c:pt>
                <c:pt idx="29">
                  <c:v>-1.0999001500955188</c:v>
                </c:pt>
                <c:pt idx="30">
                  <c:v>-1.0960337080361422</c:v>
                </c:pt>
                <c:pt idx="31">
                  <c:v>-1.0900551944881085</c:v>
                </c:pt>
                <c:pt idx="32">
                  <c:v>-1.081048377234856</c:v>
                </c:pt>
                <c:pt idx="33">
                  <c:v>-1.0678106555997557</c:v>
                </c:pt>
                <c:pt idx="34">
                  <c:v>-1.0488062038937087</c:v>
                </c:pt>
                <c:pt idx="35">
                  <c:v>-1.0221249891154813</c:v>
                </c:pt>
                <c:pt idx="36">
                  <c:v>-0.9854520558583697</c:v>
                </c:pt>
                <c:pt idx="37">
                  <c:v>-0.93605138657742937</c:v>
                </c:pt>
                <c:pt idx="38">
                  <c:v>-0.87076809598455651</c:v>
                </c:pt>
                <c:pt idx="39">
                  <c:v>-0.7860517181002733</c:v>
                </c:pt>
                <c:pt idx="40">
                  <c:v>-0.67800196812709079</c:v>
                </c:pt>
                <c:pt idx="41">
                  <c:v>-0.54243673611236631</c:v>
                </c:pt>
                <c:pt idx="42">
                  <c:v>-0.3749803583785794</c:v>
                </c:pt>
                <c:pt idx="43">
                  <c:v>-0.17116859253769007</c:v>
                </c:pt>
                <c:pt idx="44">
                  <c:v>7.3434640860273681E-2</c:v>
                </c:pt>
                <c:pt idx="45">
                  <c:v>0.36311465710200935</c:v>
                </c:pt>
                <c:pt idx="46">
                  <c:v>0.70188394275845645</c:v>
                </c:pt>
                <c:pt idx="47">
                  <c:v>1.0933669993122626</c:v>
                </c:pt>
                <c:pt idx="48">
                  <c:v>1.5406979502667431</c:v>
                </c:pt>
                <c:pt idx="49">
                  <c:v>2.0464358303818275</c:v>
                </c:pt>
                <c:pt idx="50">
                  <c:v>2.612501225802784</c:v>
                </c:pt>
                <c:pt idx="51">
                  <c:v>3.2401364988154699</c:v>
                </c:pt>
                <c:pt idx="52">
                  <c:v>3.929890343735511</c:v>
                </c:pt>
                <c:pt idx="53">
                  <c:v>4.6816260044518749</c:v>
                </c:pt>
                <c:pt idx="54">
                  <c:v>4.4945512420289155</c:v>
                </c:pt>
                <c:pt idx="55">
                  <c:v>3.8672671470675755</c:v>
                </c:pt>
                <c:pt idx="56">
                  <c:v>3.2978321896010203</c:v>
                </c:pt>
                <c:pt idx="57">
                  <c:v>2.7838375020527728</c:v>
                </c:pt>
                <c:pt idx="58">
                  <c:v>2.3224892843907092</c:v>
                </c:pt>
                <c:pt idx="59">
                  <c:v>1.9106943702660821</c:v>
                </c:pt>
                <c:pt idx="60">
                  <c:v>1.5451453496083722</c:v>
                </c:pt>
                <c:pt idx="61">
                  <c:v>1.2224021504198213</c:v>
                </c:pt>
                <c:pt idx="62">
                  <c:v>0.93896758268828862</c:v>
                </c:pt>
                <c:pt idx="63">
                  <c:v>0.69135498647809968</c:v>
                </c:pt>
                <c:pt idx="64">
                  <c:v>0.47614675780111249</c:v>
                </c:pt>
                <c:pt idx="65">
                  <c:v>0.29004311279788197</c:v>
                </c:pt>
                <c:pt idx="66">
                  <c:v>0.12990096647325089</c:v>
                </c:pt>
                <c:pt idx="67">
                  <c:v>-7.2367696555843963E-3</c:v>
                </c:pt>
                <c:pt idx="68">
                  <c:v>-0.12412083332927892</c:v>
                </c:pt>
                <c:pt idx="69">
                  <c:v>-0.22328332409328056</c:v>
                </c:pt>
                <c:pt idx="70">
                  <c:v>-0.30703245500821907</c:v>
                </c:pt>
                <c:pt idx="71">
                  <c:v>-0.37745324252606594</c:v>
                </c:pt>
                <c:pt idx="72">
                  <c:v>-0.43641302493886514</c:v>
                </c:pt>
                <c:pt idx="73">
                  <c:v>-0.48557074225548291</c:v>
                </c:pt>
                <c:pt idx="74">
                  <c:v>-0.52638899030439035</c:v>
                </c:pt>
                <c:pt idx="75">
                  <c:v>-0.56014796679020407</c:v>
                </c:pt>
                <c:pt idx="76">
                  <c:v>-0.58796054601862835</c:v>
                </c:pt>
                <c:pt idx="77">
                  <c:v>-0.6107878429953999</c:v>
                </c:pt>
                <c:pt idx="78">
                  <c:v>-0.62945474950020497</c:v>
                </c:pt>
                <c:pt idx="79">
                  <c:v>-0.64466503931954122</c:v>
                </c:pt>
                <c:pt idx="80">
                  <c:v>-0.6570157435806081</c:v>
                </c:pt>
                <c:pt idx="81">
                  <c:v>-0.66701058800730806</c:v>
                </c:pt>
                <c:pt idx="82">
                  <c:v>-0.67507236105573298</c:v>
                </c:pt>
                <c:pt idx="83">
                  <c:v>-0.68155414533824654</c:v>
                </c:pt>
                <c:pt idx="84">
                  <c:v>-0.68674939522664857</c:v>
                </c:pt>
                <c:pt idx="85">
                  <c:v>-0.69090088220951174</c:v>
                </c:pt>
                <c:pt idx="86">
                  <c:v>-0.69420855787857505</c:v>
                </c:pt>
                <c:pt idx="87">
                  <c:v>-0.69683640387325596</c:v>
                </c:pt>
                <c:pt idx="88">
                  <c:v>-0.69891835024542814</c:v>
                </c:pt>
                <c:pt idx="89">
                  <c:v>-0.70056334996964864</c:v>
                </c:pt>
                <c:pt idx="90">
                  <c:v>-0.70185969902957623</c:v>
                </c:pt>
                <c:pt idx="91">
                  <c:v>-0.7028786898179149</c:v>
                </c:pt>
                <c:pt idx="92">
                  <c:v>-0.70367768147475118</c:v>
                </c:pt>
                <c:pt idx="93">
                  <c:v>-0.70430266507010941</c:v>
                </c:pt>
                <c:pt idx="94">
                  <c:v>-0.70479039486388473</c:v>
                </c:pt>
                <c:pt idx="95">
                  <c:v>-0.70517014975481374</c:v>
                </c:pt>
                <c:pt idx="96">
                  <c:v>-0.7054651818427331</c:v>
                </c:pt>
                <c:pt idx="97">
                  <c:v>-0.70569390204967419</c:v>
                </c:pt>
                <c:pt idx="98">
                  <c:v>-0.70587084616072104</c:v>
                </c:pt>
                <c:pt idx="99">
                  <c:v>-0.70600745857429104</c:v>
                </c:pt>
                <c:pt idx="100">
                  <c:v>-0.70611272555598248</c:v>
                </c:pt>
              </c:numCache>
            </c:numRef>
          </c:yVal>
          <c:smooth val="1"/>
          <c:extLst>
            <c:ext xmlns:c16="http://schemas.microsoft.com/office/drawing/2014/chart" uri="{C3380CC4-5D6E-409C-BE32-E72D297353CC}">
              <c16:uniqueId val="{00000000-78AC-48DD-B51D-20536E0FC244}"/>
            </c:ext>
          </c:extLst>
        </c:ser>
        <c:dLbls>
          <c:showLegendKey val="0"/>
          <c:showVal val="0"/>
          <c:showCatName val="0"/>
          <c:showSerName val="0"/>
          <c:showPercent val="0"/>
          <c:showBubbleSize val="0"/>
        </c:dLbls>
        <c:axId val="109231104"/>
        <c:axId val="109245568"/>
      </c:scatterChart>
      <c:valAx>
        <c:axId val="109231104"/>
        <c:scaling>
          <c:orientation val="minMax"/>
          <c:min val="40"/>
        </c:scaling>
        <c:delete val="0"/>
        <c:axPos val="b"/>
        <c:title>
          <c:tx>
            <c:rich>
              <a:bodyPr/>
              <a:lstStyle/>
              <a:p>
                <a:pPr>
                  <a:defRPr/>
                </a:pPr>
                <a:r>
                  <a:rPr lang="en-US"/>
                  <a:t>Stock Price on Front-End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Front-End</a:t>
            </a:r>
            <a:r>
              <a:rPr lang="en-US" baseline="0"/>
              <a:t> </a:t>
            </a:r>
            <a:r>
              <a:rPr lang="en-US"/>
              <a:t>Maturity</a:t>
            </a:r>
          </a:p>
        </c:rich>
      </c:tx>
      <c:overlay val="0"/>
    </c:title>
    <c:autoTitleDeleted val="0"/>
    <c:plotArea>
      <c:layout/>
      <c:scatterChart>
        <c:scatterStyle val="smoothMarker"/>
        <c:varyColors val="0"/>
        <c:ser>
          <c:idx val="2"/>
          <c:order val="0"/>
          <c:marker>
            <c:symbol val="none"/>
          </c:marker>
          <c:xVal>
            <c:numRef>
              <c:f>'Slide 126 (Diagonal Spread)_new'!$A$4:$A$104</c:f>
              <c:numCache>
                <c:formatCode>General</c:formatCode>
                <c:ptCount val="101"/>
                <c:pt idx="0">
                  <c:v>40</c:v>
                </c:pt>
                <c:pt idx="1">
                  <c:v>41.5</c:v>
                </c:pt>
                <c:pt idx="2">
                  <c:v>43</c:v>
                </c:pt>
                <c:pt idx="3">
                  <c:v>44.5</c:v>
                </c:pt>
                <c:pt idx="4">
                  <c:v>46</c:v>
                </c:pt>
                <c:pt idx="5">
                  <c:v>47.5</c:v>
                </c:pt>
                <c:pt idx="6">
                  <c:v>49</c:v>
                </c:pt>
                <c:pt idx="7">
                  <c:v>50.5</c:v>
                </c:pt>
                <c:pt idx="8">
                  <c:v>52</c:v>
                </c:pt>
                <c:pt idx="9">
                  <c:v>53.5</c:v>
                </c:pt>
                <c:pt idx="10">
                  <c:v>55</c:v>
                </c:pt>
                <c:pt idx="11">
                  <c:v>56.5</c:v>
                </c:pt>
                <c:pt idx="12">
                  <c:v>58</c:v>
                </c:pt>
                <c:pt idx="13">
                  <c:v>59.5</c:v>
                </c:pt>
                <c:pt idx="14">
                  <c:v>61</c:v>
                </c:pt>
                <c:pt idx="15">
                  <c:v>62.5</c:v>
                </c:pt>
                <c:pt idx="16">
                  <c:v>64</c:v>
                </c:pt>
                <c:pt idx="17">
                  <c:v>65.5</c:v>
                </c:pt>
                <c:pt idx="18">
                  <c:v>67</c:v>
                </c:pt>
                <c:pt idx="19">
                  <c:v>68.5</c:v>
                </c:pt>
                <c:pt idx="20">
                  <c:v>70</c:v>
                </c:pt>
                <c:pt idx="21">
                  <c:v>71.5</c:v>
                </c:pt>
                <c:pt idx="22">
                  <c:v>73</c:v>
                </c:pt>
                <c:pt idx="23">
                  <c:v>74.5</c:v>
                </c:pt>
                <c:pt idx="24">
                  <c:v>76</c:v>
                </c:pt>
                <c:pt idx="25">
                  <c:v>77.5</c:v>
                </c:pt>
                <c:pt idx="26">
                  <c:v>79</c:v>
                </c:pt>
                <c:pt idx="27">
                  <c:v>80.5</c:v>
                </c:pt>
                <c:pt idx="28">
                  <c:v>82</c:v>
                </c:pt>
                <c:pt idx="29">
                  <c:v>83.5</c:v>
                </c:pt>
                <c:pt idx="30">
                  <c:v>85</c:v>
                </c:pt>
                <c:pt idx="31">
                  <c:v>86.5</c:v>
                </c:pt>
                <c:pt idx="32">
                  <c:v>88</c:v>
                </c:pt>
                <c:pt idx="33">
                  <c:v>89.5</c:v>
                </c:pt>
                <c:pt idx="34">
                  <c:v>91</c:v>
                </c:pt>
                <c:pt idx="35">
                  <c:v>92.5</c:v>
                </c:pt>
                <c:pt idx="36">
                  <c:v>94</c:v>
                </c:pt>
                <c:pt idx="37">
                  <c:v>95.5</c:v>
                </c:pt>
                <c:pt idx="38">
                  <c:v>97</c:v>
                </c:pt>
                <c:pt idx="39">
                  <c:v>98.5</c:v>
                </c:pt>
                <c:pt idx="40">
                  <c:v>100</c:v>
                </c:pt>
                <c:pt idx="41">
                  <c:v>101.5</c:v>
                </c:pt>
                <c:pt idx="42">
                  <c:v>103</c:v>
                </c:pt>
                <c:pt idx="43">
                  <c:v>104.5</c:v>
                </c:pt>
                <c:pt idx="44">
                  <c:v>106</c:v>
                </c:pt>
                <c:pt idx="45">
                  <c:v>107.5</c:v>
                </c:pt>
                <c:pt idx="46">
                  <c:v>109</c:v>
                </c:pt>
                <c:pt idx="47">
                  <c:v>110.5</c:v>
                </c:pt>
                <c:pt idx="48">
                  <c:v>112</c:v>
                </c:pt>
                <c:pt idx="49">
                  <c:v>113.5</c:v>
                </c:pt>
                <c:pt idx="50">
                  <c:v>115</c:v>
                </c:pt>
                <c:pt idx="51">
                  <c:v>116.5</c:v>
                </c:pt>
                <c:pt idx="52">
                  <c:v>118</c:v>
                </c:pt>
                <c:pt idx="53">
                  <c:v>119.5</c:v>
                </c:pt>
                <c:pt idx="54">
                  <c:v>121</c:v>
                </c:pt>
                <c:pt idx="55">
                  <c:v>122.5</c:v>
                </c:pt>
                <c:pt idx="56">
                  <c:v>124</c:v>
                </c:pt>
                <c:pt idx="57">
                  <c:v>125.5</c:v>
                </c:pt>
                <c:pt idx="58">
                  <c:v>127</c:v>
                </c:pt>
                <c:pt idx="59">
                  <c:v>128.5</c:v>
                </c:pt>
                <c:pt idx="60">
                  <c:v>130</c:v>
                </c:pt>
                <c:pt idx="61">
                  <c:v>131.5</c:v>
                </c:pt>
                <c:pt idx="62">
                  <c:v>133</c:v>
                </c:pt>
                <c:pt idx="63">
                  <c:v>134.5</c:v>
                </c:pt>
                <c:pt idx="64">
                  <c:v>136</c:v>
                </c:pt>
                <c:pt idx="65">
                  <c:v>137.5</c:v>
                </c:pt>
                <c:pt idx="66">
                  <c:v>139</c:v>
                </c:pt>
                <c:pt idx="67">
                  <c:v>140.5</c:v>
                </c:pt>
                <c:pt idx="68">
                  <c:v>142</c:v>
                </c:pt>
                <c:pt idx="69">
                  <c:v>143.5</c:v>
                </c:pt>
                <c:pt idx="70">
                  <c:v>145</c:v>
                </c:pt>
                <c:pt idx="71">
                  <c:v>146.5</c:v>
                </c:pt>
                <c:pt idx="72">
                  <c:v>148</c:v>
                </c:pt>
                <c:pt idx="73">
                  <c:v>149.5</c:v>
                </c:pt>
                <c:pt idx="74">
                  <c:v>151</c:v>
                </c:pt>
                <c:pt idx="75">
                  <c:v>152.5</c:v>
                </c:pt>
                <c:pt idx="76">
                  <c:v>154</c:v>
                </c:pt>
                <c:pt idx="77">
                  <c:v>155.5</c:v>
                </c:pt>
                <c:pt idx="78">
                  <c:v>157</c:v>
                </c:pt>
                <c:pt idx="79">
                  <c:v>158.5</c:v>
                </c:pt>
                <c:pt idx="80">
                  <c:v>160</c:v>
                </c:pt>
                <c:pt idx="81">
                  <c:v>161.5</c:v>
                </c:pt>
                <c:pt idx="82">
                  <c:v>163</c:v>
                </c:pt>
                <c:pt idx="83">
                  <c:v>164.5</c:v>
                </c:pt>
                <c:pt idx="84">
                  <c:v>166</c:v>
                </c:pt>
                <c:pt idx="85">
                  <c:v>167.5</c:v>
                </c:pt>
                <c:pt idx="86">
                  <c:v>169</c:v>
                </c:pt>
                <c:pt idx="87">
                  <c:v>170.5</c:v>
                </c:pt>
                <c:pt idx="88">
                  <c:v>172</c:v>
                </c:pt>
                <c:pt idx="89">
                  <c:v>173.5</c:v>
                </c:pt>
                <c:pt idx="90">
                  <c:v>175</c:v>
                </c:pt>
                <c:pt idx="91">
                  <c:v>176.5</c:v>
                </c:pt>
                <c:pt idx="92">
                  <c:v>178</c:v>
                </c:pt>
                <c:pt idx="93">
                  <c:v>179.5</c:v>
                </c:pt>
                <c:pt idx="94">
                  <c:v>181</c:v>
                </c:pt>
                <c:pt idx="95">
                  <c:v>182.5</c:v>
                </c:pt>
                <c:pt idx="96">
                  <c:v>184</c:v>
                </c:pt>
                <c:pt idx="97">
                  <c:v>185.5</c:v>
                </c:pt>
                <c:pt idx="98">
                  <c:v>187</c:v>
                </c:pt>
                <c:pt idx="99">
                  <c:v>188.5</c:v>
                </c:pt>
                <c:pt idx="100">
                  <c:v>190</c:v>
                </c:pt>
              </c:numCache>
            </c:numRef>
          </c:xVal>
          <c:yVal>
            <c:numRef>
              <c:f>'Slide 126 (Diagonal Spread)_new'!$J$4:$J$104</c:f>
              <c:numCache>
                <c:formatCode>General</c:formatCode>
                <c:ptCount val="101"/>
                <c:pt idx="0">
                  <c:v>-6.8105105236806498</c:v>
                </c:pt>
                <c:pt idx="1">
                  <c:v>-6.8105105236802022</c:v>
                </c:pt>
                <c:pt idx="2">
                  <c:v>-6.8105105236768901</c:v>
                </c:pt>
                <c:pt idx="3">
                  <c:v>-6.8105105236534742</c:v>
                </c:pt>
                <c:pt idx="4">
                  <c:v>-6.8105105235093948</c:v>
                </c:pt>
                <c:pt idx="5">
                  <c:v>-6.8105105227291762</c:v>
                </c:pt>
                <c:pt idx="6">
                  <c:v>-6.8105105189728432</c:v>
                </c:pt>
                <c:pt idx="7">
                  <c:v>-6.810510502747368</c:v>
                </c:pt>
                <c:pt idx="8">
                  <c:v>-6.8105104393489562</c:v>
                </c:pt>
                <c:pt idx="9">
                  <c:v>-6.81051021359999</c:v>
                </c:pt>
                <c:pt idx="10">
                  <c:v>-6.8105094761088782</c:v>
                </c:pt>
                <c:pt idx="11">
                  <c:v>-6.810507252172556</c:v>
                </c:pt>
                <c:pt idx="12">
                  <c:v>-6.8105010271989164</c:v>
                </c:pt>
                <c:pt idx="13">
                  <c:v>-6.8104847714149486</c:v>
                </c:pt>
                <c:pt idx="14">
                  <c:v>-6.8104449833663336</c:v>
                </c:pt>
                <c:pt idx="15">
                  <c:v>-6.8103533140041304</c:v>
                </c:pt>
                <c:pt idx="16">
                  <c:v>-6.810153729833579</c:v>
                </c:pt>
                <c:pt idx="17">
                  <c:v>-6.8097416056985134</c:v>
                </c:pt>
                <c:pt idx="18">
                  <c:v>-6.8089318021869127</c:v>
                </c:pt>
                <c:pt idx="19">
                  <c:v>-6.8074129263418817</c:v>
                </c:pt>
                <c:pt idx="20">
                  <c:v>-6.8046858352223465</c:v>
                </c:pt>
                <c:pt idx="21">
                  <c:v>-6.7999861656934248</c:v>
                </c:pt>
                <c:pt idx="22">
                  <c:v>-6.7921932310380182</c:v>
                </c:pt>
                <c:pt idx="23">
                  <c:v>-6.7797307575741241</c:v>
                </c:pt>
                <c:pt idx="24">
                  <c:v>-6.7604681602950825</c:v>
                </c:pt>
                <c:pt idx="25">
                  <c:v>-6.7316337421320434</c:v>
                </c:pt>
                <c:pt idx="26">
                  <c:v>-6.6897526923606483</c:v>
                </c:pt>
                <c:pt idx="27">
                  <c:v>-6.6306225370215603</c:v>
                </c:pt>
                <c:pt idx="28">
                  <c:v>-6.5493365141168578</c:v>
                </c:pt>
                <c:pt idx="29">
                  <c:v>-6.44036132247055</c:v>
                </c:pt>
                <c:pt idx="30">
                  <c:v>-6.297670297816623</c:v>
                </c:pt>
                <c:pt idx="31">
                  <c:v>-6.1149270519931544</c:v>
                </c:pt>
                <c:pt idx="32">
                  <c:v>-5.8857088532949824</c:v>
                </c:pt>
                <c:pt idx="33">
                  <c:v>-5.6037543742298848</c:v>
                </c:pt>
                <c:pt idx="34">
                  <c:v>-5.2632175426275811</c:v>
                </c:pt>
                <c:pt idx="35">
                  <c:v>-4.8589084610581086</c:v>
                </c:pt>
                <c:pt idx="36">
                  <c:v>-4.3865037267001536</c:v>
                </c:pt>
                <c:pt idx="37">
                  <c:v>-3.8427116947986257</c:v>
                </c:pt>
                <c:pt idx="38">
                  <c:v>-3.2253827549407696</c:v>
                </c:pt>
                <c:pt idx="39">
                  <c:v>-2.5335598767258554</c:v>
                </c:pt>
                <c:pt idx="40">
                  <c:v>-1.7674698655494672</c:v>
                </c:pt>
                <c:pt idx="41">
                  <c:v>-0.92846037325045416</c:v>
                </c:pt>
                <c:pt idx="42">
                  <c:v>-1.8891310530302186E-2</c:v>
                </c:pt>
                <c:pt idx="43">
                  <c:v>0.95800832667450719</c:v>
                </c:pt>
                <c:pt idx="44">
                  <c:v>1.9983061269470406</c:v>
                </c:pt>
                <c:pt idx="45">
                  <c:v>3.0975424439395574</c:v>
                </c:pt>
                <c:pt idx="46">
                  <c:v>4.250906172664342</c:v>
                </c:pt>
                <c:pt idx="47">
                  <c:v>5.4534009641924381</c:v>
                </c:pt>
                <c:pt idx="48">
                  <c:v>6.6999948733000263</c:v>
                </c:pt>
                <c:pt idx="49">
                  <c:v>7.9857487087307373</c:v>
                </c:pt>
                <c:pt idx="50">
                  <c:v>9.3059205310122035</c:v>
                </c:pt>
                <c:pt idx="51">
                  <c:v>10.656045655921458</c:v>
                </c:pt>
                <c:pt idx="52">
                  <c:v>12.031993073712171</c:v>
                </c:pt>
                <c:pt idx="53">
                  <c:v>13.430000343575413</c:v>
                </c:pt>
                <c:pt idx="54">
                  <c:v>13.846689774781494</c:v>
                </c:pt>
                <c:pt idx="55">
                  <c:v>13.779069099589149</c:v>
                </c:pt>
                <c:pt idx="56">
                  <c:v>13.724519938130255</c:v>
                </c:pt>
                <c:pt idx="57">
                  <c:v>13.680777221192782</c:v>
                </c:pt>
                <c:pt idx="58">
                  <c:v>13.645902442439164</c:v>
                </c:pt>
                <c:pt idx="59">
                  <c:v>13.618253220222241</c:v>
                </c:pt>
                <c:pt idx="60">
                  <c:v>13.596451213865377</c:v>
                </c:pt>
                <c:pt idx="61">
                  <c:v>13.579350001395381</c:v>
                </c:pt>
                <c:pt idx="62">
                  <c:v>13.566004114842128</c:v>
                </c:pt>
                <c:pt idx="63">
                  <c:v>13.555640064249642</c:v>
                </c:pt>
                <c:pt idx="64">
                  <c:v>13.547629872431598</c:v>
                </c:pt>
                <c:pt idx="65">
                  <c:v>13.541467392226647</c:v>
                </c:pt>
                <c:pt idx="66">
                  <c:v>13.536747484518266</c:v>
                </c:pt>
                <c:pt idx="67">
                  <c:v>13.533147993268976</c:v>
                </c:pt>
                <c:pt idx="68">
                  <c:v>13.530414356146188</c:v>
                </c:pt>
                <c:pt idx="69">
                  <c:v>13.528346628160868</c:v>
                </c:pt>
                <c:pt idx="70">
                  <c:v>13.526788663374155</c:v>
                </c:pt>
                <c:pt idx="71">
                  <c:v>13.525619189059505</c:v>
                </c:pt>
                <c:pt idx="72">
                  <c:v>13.524744511558687</c:v>
                </c:pt>
                <c:pt idx="73">
                  <c:v>13.524092608313289</c:v>
                </c:pt>
                <c:pt idx="74">
                  <c:v>13.523608382101749</c:v>
                </c:pt>
                <c:pt idx="75">
                  <c:v>13.523249878244791</c:v>
                </c:pt>
                <c:pt idx="76">
                  <c:v>13.522985291185087</c:v>
                </c:pt>
                <c:pt idx="77">
                  <c:v>13.522790611828391</c:v>
                </c:pt>
                <c:pt idx="78">
                  <c:v>13.522647790342212</c:v>
                </c:pt>
                <c:pt idx="79">
                  <c:v>13.522543310167116</c:v>
                </c:pt>
                <c:pt idx="80">
                  <c:v>13.522467087546211</c:v>
                </c:pt>
                <c:pt idx="81">
                  <c:v>13.52241162688005</c:v>
                </c:pt>
                <c:pt idx="82">
                  <c:v>13.522371375780203</c:v>
                </c:pt>
                <c:pt idx="83">
                  <c:v>13.522342235021732</c:v>
                </c:pt>
                <c:pt idx="84">
                  <c:v>13.522321187929784</c:v>
                </c:pt>
                <c:pt idx="85">
                  <c:v>13.522306021337606</c:v>
                </c:pt>
                <c:pt idx="86">
                  <c:v>13.522295116381308</c:v>
                </c:pt>
                <c:pt idx="87">
                  <c:v>13.522287292286926</c:v>
                </c:pt>
                <c:pt idx="88">
                  <c:v>13.522281690177401</c:v>
                </c:pt>
                <c:pt idx="89">
                  <c:v>13.522277686965772</c:v>
                </c:pt>
                <c:pt idx="90">
                  <c:v>13.522274831769316</c:v>
                </c:pt>
                <c:pt idx="91">
                  <c:v>13.52227279911272</c:v>
                </c:pt>
                <c:pt idx="92">
                  <c:v>13.522271354598793</c:v>
                </c:pt>
                <c:pt idx="93">
                  <c:v>13.522270329803</c:v>
                </c:pt>
                <c:pt idx="94">
                  <c:v>13.522269603967608</c:v>
                </c:pt>
                <c:pt idx="95">
                  <c:v>13.522269090692014</c:v>
                </c:pt>
                <c:pt idx="96">
                  <c:v>13.52226872828188</c:v>
                </c:pt>
                <c:pt idx="97">
                  <c:v>13.522268472769312</c:v>
                </c:pt>
                <c:pt idx="98">
                  <c:v>13.522268292877996</c:v>
                </c:pt>
                <c:pt idx="99">
                  <c:v>13.522268166399186</c:v>
                </c:pt>
                <c:pt idx="100">
                  <c:v>13.522268077590141</c:v>
                </c:pt>
              </c:numCache>
            </c:numRef>
          </c:yVal>
          <c:smooth val="1"/>
          <c:extLst>
            <c:ext xmlns:c16="http://schemas.microsoft.com/office/drawing/2014/chart" uri="{C3380CC4-5D6E-409C-BE32-E72D297353CC}">
              <c16:uniqueId val="{00000000-7651-45E5-8DFD-98124A790F55}"/>
            </c:ext>
          </c:extLst>
        </c:ser>
        <c:dLbls>
          <c:showLegendKey val="0"/>
          <c:showVal val="0"/>
          <c:showCatName val="0"/>
          <c:showSerName val="0"/>
          <c:showPercent val="0"/>
          <c:showBubbleSize val="0"/>
        </c:dLbls>
        <c:axId val="109231104"/>
        <c:axId val="109245568"/>
      </c:scatterChart>
      <c:valAx>
        <c:axId val="109231104"/>
        <c:scaling>
          <c:orientation val="minMax"/>
          <c:min val="40"/>
        </c:scaling>
        <c:delete val="0"/>
        <c:axPos val="b"/>
        <c:title>
          <c:tx>
            <c:rich>
              <a:bodyPr/>
              <a:lstStyle/>
              <a:p>
                <a:pPr>
                  <a:defRPr/>
                </a:pPr>
                <a:r>
                  <a:rPr lang="en-US"/>
                  <a:t>Stock Price on Front-End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(Butterly Spread)_new'!$A$4:$A$104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(Butterly Spread)_new'!$F$4:$F$104</c:f>
              <c:numCache>
                <c:formatCode>General</c:formatCode>
                <c:ptCount val="101"/>
                <c:pt idx="0">
                  <c:v>-10.781419534712585</c:v>
                </c:pt>
                <c:pt idx="1">
                  <c:v>-10.781419534712585</c:v>
                </c:pt>
                <c:pt idx="2">
                  <c:v>-10.781419534712585</c:v>
                </c:pt>
                <c:pt idx="3">
                  <c:v>-10.781419534712585</c:v>
                </c:pt>
                <c:pt idx="4">
                  <c:v>-10.781419534712585</c:v>
                </c:pt>
                <c:pt idx="5">
                  <c:v>-10.781419534712585</c:v>
                </c:pt>
                <c:pt idx="6">
                  <c:v>-10.781419534712585</c:v>
                </c:pt>
                <c:pt idx="7">
                  <c:v>-10.781419534712585</c:v>
                </c:pt>
                <c:pt idx="8">
                  <c:v>-10.781419534712585</c:v>
                </c:pt>
                <c:pt idx="9">
                  <c:v>-10.781419534712585</c:v>
                </c:pt>
                <c:pt idx="10">
                  <c:v>-10.781419534712585</c:v>
                </c:pt>
                <c:pt idx="11">
                  <c:v>-10.781419534712585</c:v>
                </c:pt>
                <c:pt idx="12">
                  <c:v>-10.781419534712585</c:v>
                </c:pt>
                <c:pt idx="13">
                  <c:v>-10.781419534712585</c:v>
                </c:pt>
                <c:pt idx="14">
                  <c:v>-10.781419534712585</c:v>
                </c:pt>
                <c:pt idx="15">
                  <c:v>-10.781419534712585</c:v>
                </c:pt>
                <c:pt idx="16">
                  <c:v>-10.781419534712585</c:v>
                </c:pt>
                <c:pt idx="17">
                  <c:v>-10.781419534712585</c:v>
                </c:pt>
                <c:pt idx="18">
                  <c:v>-10.781419534712585</c:v>
                </c:pt>
                <c:pt idx="19">
                  <c:v>-10.781419534712585</c:v>
                </c:pt>
                <c:pt idx="20">
                  <c:v>-10.781419534712585</c:v>
                </c:pt>
                <c:pt idx="21">
                  <c:v>-10.781419534712585</c:v>
                </c:pt>
                <c:pt idx="22">
                  <c:v>-10.781419534712585</c:v>
                </c:pt>
                <c:pt idx="23">
                  <c:v>-10.781419534712585</c:v>
                </c:pt>
                <c:pt idx="24">
                  <c:v>-10.781419534712585</c:v>
                </c:pt>
                <c:pt idx="25">
                  <c:v>-10.781419534712585</c:v>
                </c:pt>
                <c:pt idx="26">
                  <c:v>-10.781419534712585</c:v>
                </c:pt>
                <c:pt idx="27">
                  <c:v>-10.781419534712585</c:v>
                </c:pt>
                <c:pt idx="28">
                  <c:v>-10.781419534712585</c:v>
                </c:pt>
                <c:pt idx="29">
                  <c:v>-10.781419534712585</c:v>
                </c:pt>
                <c:pt idx="30">
                  <c:v>-10.781419534712585</c:v>
                </c:pt>
                <c:pt idx="31">
                  <c:v>-10.781419534712585</c:v>
                </c:pt>
                <c:pt idx="32">
                  <c:v>-10.781419534712585</c:v>
                </c:pt>
                <c:pt idx="33">
                  <c:v>-10.781419534712585</c:v>
                </c:pt>
                <c:pt idx="34">
                  <c:v>-10.781419534712585</c:v>
                </c:pt>
                <c:pt idx="35">
                  <c:v>-10.781419534712585</c:v>
                </c:pt>
                <c:pt idx="36">
                  <c:v>-10.781419534712585</c:v>
                </c:pt>
                <c:pt idx="37">
                  <c:v>-10.781419534712585</c:v>
                </c:pt>
                <c:pt idx="38">
                  <c:v>-10.781419534712585</c:v>
                </c:pt>
                <c:pt idx="39">
                  <c:v>-10.781419534712585</c:v>
                </c:pt>
                <c:pt idx="40">
                  <c:v>-10.781419534712585</c:v>
                </c:pt>
                <c:pt idx="41">
                  <c:v>-8.781419534712585</c:v>
                </c:pt>
                <c:pt idx="42">
                  <c:v>-6.7814195347125841</c:v>
                </c:pt>
                <c:pt idx="43">
                  <c:v>-4.7814195347125841</c:v>
                </c:pt>
                <c:pt idx="44">
                  <c:v>-2.7814195347125827</c:v>
                </c:pt>
                <c:pt idx="45">
                  <c:v>-0.78141953471258296</c:v>
                </c:pt>
                <c:pt idx="46">
                  <c:v>1.218580465287417</c:v>
                </c:pt>
                <c:pt idx="47">
                  <c:v>3.2185804652874173</c:v>
                </c:pt>
                <c:pt idx="48">
                  <c:v>5.2185804652874168</c:v>
                </c:pt>
                <c:pt idx="49">
                  <c:v>7.2185804652874168</c:v>
                </c:pt>
                <c:pt idx="50">
                  <c:v>9.2185804652874168</c:v>
                </c:pt>
                <c:pt idx="51">
                  <c:v>7.2185804652874168</c:v>
                </c:pt>
                <c:pt idx="52">
                  <c:v>5.2185804652874168</c:v>
                </c:pt>
                <c:pt idx="53">
                  <c:v>3.2185804652874173</c:v>
                </c:pt>
                <c:pt idx="54">
                  <c:v>1.218580465287417</c:v>
                </c:pt>
                <c:pt idx="55">
                  <c:v>-0.78141953471258296</c:v>
                </c:pt>
                <c:pt idx="56">
                  <c:v>-2.7814195347125827</c:v>
                </c:pt>
                <c:pt idx="57">
                  <c:v>-4.781419534712585</c:v>
                </c:pt>
                <c:pt idx="58">
                  <c:v>-6.781419534712585</c:v>
                </c:pt>
                <c:pt idx="59">
                  <c:v>-8.781419534712585</c:v>
                </c:pt>
                <c:pt idx="60">
                  <c:v>-10.781419534712585</c:v>
                </c:pt>
                <c:pt idx="61">
                  <c:v>-10.781419534712585</c:v>
                </c:pt>
                <c:pt idx="62">
                  <c:v>-10.781419534712585</c:v>
                </c:pt>
                <c:pt idx="63">
                  <c:v>-10.781419534712585</c:v>
                </c:pt>
                <c:pt idx="64">
                  <c:v>-10.781419534712585</c:v>
                </c:pt>
                <c:pt idx="65">
                  <c:v>-10.781419534712585</c:v>
                </c:pt>
                <c:pt idx="66">
                  <c:v>-10.781419534712585</c:v>
                </c:pt>
                <c:pt idx="67">
                  <c:v>-10.781419534712585</c:v>
                </c:pt>
                <c:pt idx="68">
                  <c:v>-10.781419534712585</c:v>
                </c:pt>
                <c:pt idx="69">
                  <c:v>-10.781419534712583</c:v>
                </c:pt>
                <c:pt idx="70">
                  <c:v>-10.781419534712583</c:v>
                </c:pt>
                <c:pt idx="71">
                  <c:v>-10.781419534712583</c:v>
                </c:pt>
                <c:pt idx="72">
                  <c:v>-10.781419534712583</c:v>
                </c:pt>
                <c:pt idx="73">
                  <c:v>-10.781419534712583</c:v>
                </c:pt>
                <c:pt idx="74">
                  <c:v>-10.781419534712583</c:v>
                </c:pt>
                <c:pt idx="75">
                  <c:v>-10.781419534712583</c:v>
                </c:pt>
                <c:pt idx="76">
                  <c:v>-10.781419534712583</c:v>
                </c:pt>
                <c:pt idx="77">
                  <c:v>-10.781419534712583</c:v>
                </c:pt>
                <c:pt idx="78">
                  <c:v>-10.781419534712583</c:v>
                </c:pt>
                <c:pt idx="79">
                  <c:v>-10.781419534712583</c:v>
                </c:pt>
                <c:pt idx="80">
                  <c:v>-10.781419534712583</c:v>
                </c:pt>
                <c:pt idx="81">
                  <c:v>-10.781419534712583</c:v>
                </c:pt>
                <c:pt idx="82">
                  <c:v>-10.781419534712583</c:v>
                </c:pt>
                <c:pt idx="83">
                  <c:v>-10.78141953471259</c:v>
                </c:pt>
                <c:pt idx="84">
                  <c:v>-10.78141953471259</c:v>
                </c:pt>
                <c:pt idx="85">
                  <c:v>-10.781419534712576</c:v>
                </c:pt>
                <c:pt idx="86">
                  <c:v>-10.781419534712576</c:v>
                </c:pt>
                <c:pt idx="87">
                  <c:v>-10.781419534712576</c:v>
                </c:pt>
                <c:pt idx="88">
                  <c:v>-10.781419534712576</c:v>
                </c:pt>
                <c:pt idx="89">
                  <c:v>-10.781419534712576</c:v>
                </c:pt>
                <c:pt idx="90">
                  <c:v>-10.781419534712576</c:v>
                </c:pt>
                <c:pt idx="91">
                  <c:v>-10.781419534712576</c:v>
                </c:pt>
                <c:pt idx="92">
                  <c:v>-10.781419534712576</c:v>
                </c:pt>
                <c:pt idx="93">
                  <c:v>-10.781419534712583</c:v>
                </c:pt>
                <c:pt idx="94">
                  <c:v>-10.781419534712583</c:v>
                </c:pt>
                <c:pt idx="95">
                  <c:v>-10.781419534712583</c:v>
                </c:pt>
                <c:pt idx="96">
                  <c:v>-10.781419534712583</c:v>
                </c:pt>
                <c:pt idx="97">
                  <c:v>-10.781419534712583</c:v>
                </c:pt>
                <c:pt idx="98">
                  <c:v>-10.781419534712583</c:v>
                </c:pt>
                <c:pt idx="99">
                  <c:v>-10.781419534712583</c:v>
                </c:pt>
                <c:pt idx="100">
                  <c:v>-10.781419534712583</c:v>
                </c:pt>
              </c:numCache>
            </c:numRef>
          </c:yVal>
          <c:smooth val="1"/>
          <c:extLst>
            <c:ext xmlns:c16="http://schemas.microsoft.com/office/drawing/2014/chart" uri="{C3380CC4-5D6E-409C-BE32-E72D297353CC}">
              <c16:uniqueId val="{00000000-E343-40DA-ACCB-9424ECD2A685}"/>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tx>
            <c:v>Put</c:v>
          </c:tx>
          <c:marker>
            <c:symbol val="none"/>
          </c:marker>
          <c:xVal>
            <c:numRef>
              <c:f>'Slide 142'!$Z$6:$Z$106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142'!$AA$6:$AA$106</c:f>
              <c:numCache>
                <c:formatCode>General</c:formatCode>
                <c:ptCount val="101"/>
                <c:pt idx="0">
                  <c:v>-93.669919372450082</c:v>
                </c:pt>
                <c:pt idx="1">
                  <c:v>-91.669919372450082</c:v>
                </c:pt>
                <c:pt idx="2">
                  <c:v>-89.669919372450082</c:v>
                </c:pt>
                <c:pt idx="3">
                  <c:v>-87.669919372450082</c:v>
                </c:pt>
                <c:pt idx="4">
                  <c:v>-85.669919372450082</c:v>
                </c:pt>
                <c:pt idx="5">
                  <c:v>-83.669919372450082</c:v>
                </c:pt>
                <c:pt idx="6">
                  <c:v>-81.669919372450082</c:v>
                </c:pt>
                <c:pt idx="7">
                  <c:v>-79.669919372450082</c:v>
                </c:pt>
                <c:pt idx="8">
                  <c:v>-77.669919372450082</c:v>
                </c:pt>
                <c:pt idx="9">
                  <c:v>-75.669919372450082</c:v>
                </c:pt>
                <c:pt idx="10">
                  <c:v>-73.669919372450082</c:v>
                </c:pt>
                <c:pt idx="11">
                  <c:v>-71.669919372450082</c:v>
                </c:pt>
                <c:pt idx="12">
                  <c:v>-69.669919372450082</c:v>
                </c:pt>
                <c:pt idx="13">
                  <c:v>-67.669919372450082</c:v>
                </c:pt>
                <c:pt idx="14">
                  <c:v>-65.669919372450082</c:v>
                </c:pt>
                <c:pt idx="15">
                  <c:v>-63.669919372450082</c:v>
                </c:pt>
                <c:pt idx="16">
                  <c:v>-61.669919372450082</c:v>
                </c:pt>
                <c:pt idx="17">
                  <c:v>-59.669919372450082</c:v>
                </c:pt>
                <c:pt idx="18">
                  <c:v>-57.669919372450082</c:v>
                </c:pt>
                <c:pt idx="19">
                  <c:v>-55.669919372450082</c:v>
                </c:pt>
                <c:pt idx="20">
                  <c:v>-53.669919372450082</c:v>
                </c:pt>
                <c:pt idx="21">
                  <c:v>-51.669919372450082</c:v>
                </c:pt>
                <c:pt idx="22">
                  <c:v>-49.669919372450082</c:v>
                </c:pt>
                <c:pt idx="23">
                  <c:v>-47.669919372450082</c:v>
                </c:pt>
                <c:pt idx="24">
                  <c:v>-45.669919372450082</c:v>
                </c:pt>
                <c:pt idx="25">
                  <c:v>-43.669919372450082</c:v>
                </c:pt>
                <c:pt idx="26">
                  <c:v>-41.669919372450082</c:v>
                </c:pt>
                <c:pt idx="27">
                  <c:v>-39.669919372450082</c:v>
                </c:pt>
                <c:pt idx="28">
                  <c:v>-37.669919372450082</c:v>
                </c:pt>
                <c:pt idx="29">
                  <c:v>-35.669919372450082</c:v>
                </c:pt>
                <c:pt idx="30">
                  <c:v>-33.669919372450082</c:v>
                </c:pt>
                <c:pt idx="31">
                  <c:v>-31.669919372450082</c:v>
                </c:pt>
                <c:pt idx="32">
                  <c:v>-29.669919372450082</c:v>
                </c:pt>
                <c:pt idx="33">
                  <c:v>-27.669919372450082</c:v>
                </c:pt>
                <c:pt idx="34">
                  <c:v>-25.669919372450082</c:v>
                </c:pt>
                <c:pt idx="35">
                  <c:v>-23.669919372450082</c:v>
                </c:pt>
                <c:pt idx="36">
                  <c:v>-21.669919372450082</c:v>
                </c:pt>
                <c:pt idx="37">
                  <c:v>-19.669919372450082</c:v>
                </c:pt>
                <c:pt idx="38">
                  <c:v>-17.669919372450082</c:v>
                </c:pt>
                <c:pt idx="39">
                  <c:v>-15.669919372450082</c:v>
                </c:pt>
                <c:pt idx="40">
                  <c:v>-13.669919372450082</c:v>
                </c:pt>
                <c:pt idx="41">
                  <c:v>-11.669919372450082</c:v>
                </c:pt>
                <c:pt idx="42">
                  <c:v>-9.6699193724500816</c:v>
                </c:pt>
                <c:pt idx="43">
                  <c:v>-7.6699193724500816</c:v>
                </c:pt>
                <c:pt idx="44">
                  <c:v>-5.6699193724500816</c:v>
                </c:pt>
                <c:pt idx="45">
                  <c:v>-3.6699193724500816</c:v>
                </c:pt>
                <c:pt idx="46">
                  <c:v>-1.6699193724500816</c:v>
                </c:pt>
                <c:pt idx="47">
                  <c:v>0.3300806275499184</c:v>
                </c:pt>
                <c:pt idx="48">
                  <c:v>2.3300806275499184</c:v>
                </c:pt>
                <c:pt idx="49">
                  <c:v>4.3300806275499184</c:v>
                </c:pt>
                <c:pt idx="50">
                  <c:v>6.3300806275499184</c:v>
                </c:pt>
                <c:pt idx="51">
                  <c:v>6.3300806275499184</c:v>
                </c:pt>
                <c:pt idx="52">
                  <c:v>6.3300806275499184</c:v>
                </c:pt>
                <c:pt idx="53">
                  <c:v>6.3300806275499184</c:v>
                </c:pt>
                <c:pt idx="54">
                  <c:v>6.3300806275499184</c:v>
                </c:pt>
                <c:pt idx="55">
                  <c:v>6.3300806275499184</c:v>
                </c:pt>
                <c:pt idx="56">
                  <c:v>6.3300806275499184</c:v>
                </c:pt>
                <c:pt idx="57">
                  <c:v>6.3300806275499184</c:v>
                </c:pt>
                <c:pt idx="58">
                  <c:v>6.3300806275499184</c:v>
                </c:pt>
                <c:pt idx="59">
                  <c:v>6.3300806275499184</c:v>
                </c:pt>
                <c:pt idx="60">
                  <c:v>6.3300806275499184</c:v>
                </c:pt>
                <c:pt idx="61">
                  <c:v>6.3300806275499184</c:v>
                </c:pt>
                <c:pt idx="62">
                  <c:v>6.3300806275499184</c:v>
                </c:pt>
                <c:pt idx="63">
                  <c:v>6.3300806275499184</c:v>
                </c:pt>
                <c:pt idx="64">
                  <c:v>6.3300806275499184</c:v>
                </c:pt>
                <c:pt idx="65">
                  <c:v>6.3300806275499184</c:v>
                </c:pt>
                <c:pt idx="66">
                  <c:v>6.3300806275499184</c:v>
                </c:pt>
                <c:pt idx="67">
                  <c:v>6.3300806275499184</c:v>
                </c:pt>
                <c:pt idx="68">
                  <c:v>6.3300806275499184</c:v>
                </c:pt>
                <c:pt idx="69">
                  <c:v>6.3300806275499184</c:v>
                </c:pt>
                <c:pt idx="70">
                  <c:v>6.3300806275499184</c:v>
                </c:pt>
                <c:pt idx="71">
                  <c:v>6.3300806275499184</c:v>
                </c:pt>
                <c:pt idx="72">
                  <c:v>6.3300806275499184</c:v>
                </c:pt>
                <c:pt idx="73">
                  <c:v>6.3300806275499184</c:v>
                </c:pt>
                <c:pt idx="74">
                  <c:v>6.3300806275499184</c:v>
                </c:pt>
                <c:pt idx="75">
                  <c:v>6.3300806275499184</c:v>
                </c:pt>
                <c:pt idx="76">
                  <c:v>6.3300806275499184</c:v>
                </c:pt>
                <c:pt idx="77">
                  <c:v>6.3300806275499184</c:v>
                </c:pt>
                <c:pt idx="78">
                  <c:v>6.3300806275499184</c:v>
                </c:pt>
                <c:pt idx="79">
                  <c:v>6.3300806275499184</c:v>
                </c:pt>
                <c:pt idx="80">
                  <c:v>6.3300806275499184</c:v>
                </c:pt>
                <c:pt idx="81">
                  <c:v>6.3300806275499184</c:v>
                </c:pt>
                <c:pt idx="82">
                  <c:v>6.3300806275499184</c:v>
                </c:pt>
                <c:pt idx="83">
                  <c:v>6.3300806275499184</c:v>
                </c:pt>
                <c:pt idx="84">
                  <c:v>6.3300806275499184</c:v>
                </c:pt>
                <c:pt idx="85">
                  <c:v>6.3300806275499184</c:v>
                </c:pt>
                <c:pt idx="86">
                  <c:v>6.3300806275499184</c:v>
                </c:pt>
                <c:pt idx="87">
                  <c:v>6.3300806275499184</c:v>
                </c:pt>
                <c:pt idx="88">
                  <c:v>6.3300806275499184</c:v>
                </c:pt>
                <c:pt idx="89">
                  <c:v>6.3300806275499184</c:v>
                </c:pt>
                <c:pt idx="90">
                  <c:v>6.3300806275499184</c:v>
                </c:pt>
                <c:pt idx="91">
                  <c:v>6.3300806275499184</c:v>
                </c:pt>
                <c:pt idx="92">
                  <c:v>6.3300806275499184</c:v>
                </c:pt>
                <c:pt idx="93">
                  <c:v>6.3300806275499184</c:v>
                </c:pt>
                <c:pt idx="94">
                  <c:v>6.3300806275499184</c:v>
                </c:pt>
                <c:pt idx="95">
                  <c:v>6.3300806275499184</c:v>
                </c:pt>
                <c:pt idx="96">
                  <c:v>6.3300806275499184</c:v>
                </c:pt>
                <c:pt idx="97">
                  <c:v>6.3300806275499184</c:v>
                </c:pt>
                <c:pt idx="98">
                  <c:v>6.3300806275499184</c:v>
                </c:pt>
                <c:pt idx="99">
                  <c:v>6.3300806275499184</c:v>
                </c:pt>
                <c:pt idx="100">
                  <c:v>6.3300806275499184</c:v>
                </c:pt>
              </c:numCache>
            </c:numRef>
          </c:yVal>
          <c:smooth val="1"/>
          <c:extLst>
            <c:ext xmlns:c16="http://schemas.microsoft.com/office/drawing/2014/chart" uri="{C3380CC4-5D6E-409C-BE32-E72D297353CC}">
              <c16:uniqueId val="{00000000-B0A2-4275-9D1A-B4E244087454}"/>
            </c:ext>
          </c:extLst>
        </c:ser>
        <c:ser>
          <c:idx val="0"/>
          <c:order val="1"/>
          <c:tx>
            <c:v>Call</c:v>
          </c:tx>
          <c:marker>
            <c:symbol val="none"/>
          </c:marker>
          <c:xVal>
            <c:numRef>
              <c:f>'Slide 142'!$Z$6:$Z$106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142'!$AB$6:$AB$106</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yVal>
          <c:smooth val="1"/>
          <c:extLst>
            <c:ext xmlns:c16="http://schemas.microsoft.com/office/drawing/2014/chart" uri="{C3380CC4-5D6E-409C-BE32-E72D297353CC}">
              <c16:uniqueId val="{00000001-B0A2-4275-9D1A-B4E244087454}"/>
            </c:ext>
          </c:extLst>
        </c:ser>
        <c:dLbls>
          <c:showLegendKey val="0"/>
          <c:showVal val="0"/>
          <c:showCatName val="0"/>
          <c:showSerName val="0"/>
          <c:showPercent val="0"/>
          <c:showBubbleSize val="0"/>
        </c:dLbls>
        <c:axId val="109231104"/>
        <c:axId val="109245568"/>
      </c:scatterChart>
      <c:valAx>
        <c:axId val="109231104"/>
        <c:scaling>
          <c:orientation val="minMax"/>
          <c:max val="200"/>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tx>
            <c:v>Put</c:v>
          </c:tx>
          <c:marker>
            <c:symbol val="none"/>
          </c:marker>
          <c:xVal>
            <c:numRef>
              <c:f>'Slide 145g_new'!$Z$6:$Z$106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145g_new'!$AA$6:$AA$106</c:f>
              <c:numCache>
                <c:formatCode>General</c:formatCode>
                <c:ptCount val="101"/>
                <c:pt idx="0">
                  <c:v>-100</c:v>
                </c:pt>
                <c:pt idx="1">
                  <c:v>-98</c:v>
                </c:pt>
                <c:pt idx="2">
                  <c:v>-96</c:v>
                </c:pt>
                <c:pt idx="3">
                  <c:v>-94</c:v>
                </c:pt>
                <c:pt idx="4">
                  <c:v>-92</c:v>
                </c:pt>
                <c:pt idx="5">
                  <c:v>-90</c:v>
                </c:pt>
                <c:pt idx="6">
                  <c:v>-88</c:v>
                </c:pt>
                <c:pt idx="7">
                  <c:v>-86</c:v>
                </c:pt>
                <c:pt idx="8">
                  <c:v>-84</c:v>
                </c:pt>
                <c:pt idx="9">
                  <c:v>-82</c:v>
                </c:pt>
                <c:pt idx="10">
                  <c:v>-80</c:v>
                </c:pt>
                <c:pt idx="11">
                  <c:v>-78</c:v>
                </c:pt>
                <c:pt idx="12">
                  <c:v>-76</c:v>
                </c:pt>
                <c:pt idx="13">
                  <c:v>-74</c:v>
                </c:pt>
                <c:pt idx="14">
                  <c:v>-72</c:v>
                </c:pt>
                <c:pt idx="15">
                  <c:v>-70</c:v>
                </c:pt>
                <c:pt idx="16">
                  <c:v>-68</c:v>
                </c:pt>
                <c:pt idx="17">
                  <c:v>-66</c:v>
                </c:pt>
                <c:pt idx="18">
                  <c:v>-64</c:v>
                </c:pt>
                <c:pt idx="19">
                  <c:v>-62</c:v>
                </c:pt>
                <c:pt idx="20">
                  <c:v>-60</c:v>
                </c:pt>
                <c:pt idx="21">
                  <c:v>-58</c:v>
                </c:pt>
                <c:pt idx="22">
                  <c:v>-56</c:v>
                </c:pt>
                <c:pt idx="23">
                  <c:v>-54</c:v>
                </c:pt>
                <c:pt idx="24">
                  <c:v>-52</c:v>
                </c:pt>
                <c:pt idx="25">
                  <c:v>-50</c:v>
                </c:pt>
                <c:pt idx="26">
                  <c:v>-48</c:v>
                </c:pt>
                <c:pt idx="27">
                  <c:v>-46</c:v>
                </c:pt>
                <c:pt idx="28">
                  <c:v>-44</c:v>
                </c:pt>
                <c:pt idx="29">
                  <c:v>-42</c:v>
                </c:pt>
                <c:pt idx="30">
                  <c:v>-40</c:v>
                </c:pt>
                <c:pt idx="31">
                  <c:v>-38</c:v>
                </c:pt>
                <c:pt idx="32">
                  <c:v>-36</c:v>
                </c:pt>
                <c:pt idx="33">
                  <c:v>-34</c:v>
                </c:pt>
                <c:pt idx="34">
                  <c:v>-32</c:v>
                </c:pt>
                <c:pt idx="35">
                  <c:v>-30</c:v>
                </c:pt>
                <c:pt idx="36">
                  <c:v>-28</c:v>
                </c:pt>
                <c:pt idx="37">
                  <c:v>-26</c:v>
                </c:pt>
                <c:pt idx="38">
                  <c:v>-24</c:v>
                </c:pt>
                <c:pt idx="39">
                  <c:v>-22</c:v>
                </c:pt>
                <c:pt idx="40">
                  <c:v>-20</c:v>
                </c:pt>
                <c:pt idx="41">
                  <c:v>-18</c:v>
                </c:pt>
                <c:pt idx="42">
                  <c:v>-16</c:v>
                </c:pt>
                <c:pt idx="43">
                  <c:v>-14</c:v>
                </c:pt>
                <c:pt idx="44">
                  <c:v>-12</c:v>
                </c:pt>
                <c:pt idx="45">
                  <c:v>-10</c:v>
                </c:pt>
                <c:pt idx="46">
                  <c:v>-8</c:v>
                </c:pt>
                <c:pt idx="47">
                  <c:v>-6</c:v>
                </c:pt>
                <c:pt idx="48">
                  <c:v>-4</c:v>
                </c:pt>
                <c:pt idx="49">
                  <c:v>-2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yVal>
          <c:smooth val="1"/>
          <c:extLst>
            <c:ext xmlns:c16="http://schemas.microsoft.com/office/drawing/2014/chart" uri="{C3380CC4-5D6E-409C-BE32-E72D297353CC}">
              <c16:uniqueId val="{00000000-35AA-489B-A104-64F62C8DC2DF}"/>
            </c:ext>
          </c:extLst>
        </c:ser>
        <c:ser>
          <c:idx val="0"/>
          <c:order val="1"/>
          <c:tx>
            <c:v>Call</c:v>
          </c:tx>
          <c:marker>
            <c:symbol val="none"/>
          </c:marker>
          <c:xVal>
            <c:numRef>
              <c:f>'Slide 145g_new'!$Z$6:$Z$106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145g_new'!$AB$6:$AB$106</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2</c:v>
                </c:pt>
                <c:pt idx="52">
                  <c:v>4</c:v>
                </c:pt>
                <c:pt idx="53">
                  <c:v>6</c:v>
                </c:pt>
                <c:pt idx="54">
                  <c:v>8</c:v>
                </c:pt>
                <c:pt idx="55">
                  <c:v>10</c:v>
                </c:pt>
                <c:pt idx="56">
                  <c:v>12</c:v>
                </c:pt>
                <c:pt idx="57">
                  <c:v>14</c:v>
                </c:pt>
                <c:pt idx="58">
                  <c:v>16</c:v>
                </c:pt>
                <c:pt idx="59">
                  <c:v>18</c:v>
                </c:pt>
                <c:pt idx="60">
                  <c:v>20</c:v>
                </c:pt>
                <c:pt idx="61">
                  <c:v>22</c:v>
                </c:pt>
                <c:pt idx="62">
                  <c:v>24</c:v>
                </c:pt>
                <c:pt idx="63">
                  <c:v>26</c:v>
                </c:pt>
                <c:pt idx="64">
                  <c:v>28</c:v>
                </c:pt>
                <c:pt idx="65">
                  <c:v>30</c:v>
                </c:pt>
                <c:pt idx="66">
                  <c:v>32</c:v>
                </c:pt>
                <c:pt idx="67">
                  <c:v>34</c:v>
                </c:pt>
                <c:pt idx="68">
                  <c:v>36</c:v>
                </c:pt>
                <c:pt idx="69">
                  <c:v>38</c:v>
                </c:pt>
                <c:pt idx="70">
                  <c:v>40</c:v>
                </c:pt>
                <c:pt idx="71">
                  <c:v>42</c:v>
                </c:pt>
                <c:pt idx="72">
                  <c:v>44</c:v>
                </c:pt>
                <c:pt idx="73">
                  <c:v>46</c:v>
                </c:pt>
                <c:pt idx="74">
                  <c:v>48</c:v>
                </c:pt>
                <c:pt idx="75">
                  <c:v>50</c:v>
                </c:pt>
                <c:pt idx="76">
                  <c:v>52</c:v>
                </c:pt>
                <c:pt idx="77">
                  <c:v>54</c:v>
                </c:pt>
                <c:pt idx="78">
                  <c:v>56</c:v>
                </c:pt>
                <c:pt idx="79">
                  <c:v>58</c:v>
                </c:pt>
                <c:pt idx="80">
                  <c:v>60</c:v>
                </c:pt>
                <c:pt idx="81">
                  <c:v>62</c:v>
                </c:pt>
                <c:pt idx="82">
                  <c:v>64</c:v>
                </c:pt>
                <c:pt idx="83">
                  <c:v>66</c:v>
                </c:pt>
                <c:pt idx="84">
                  <c:v>68</c:v>
                </c:pt>
                <c:pt idx="85">
                  <c:v>70</c:v>
                </c:pt>
                <c:pt idx="86">
                  <c:v>72</c:v>
                </c:pt>
                <c:pt idx="87">
                  <c:v>74</c:v>
                </c:pt>
                <c:pt idx="88">
                  <c:v>76</c:v>
                </c:pt>
                <c:pt idx="89">
                  <c:v>78</c:v>
                </c:pt>
                <c:pt idx="90">
                  <c:v>80</c:v>
                </c:pt>
                <c:pt idx="91">
                  <c:v>82</c:v>
                </c:pt>
                <c:pt idx="92">
                  <c:v>84</c:v>
                </c:pt>
                <c:pt idx="93">
                  <c:v>86</c:v>
                </c:pt>
                <c:pt idx="94">
                  <c:v>88</c:v>
                </c:pt>
                <c:pt idx="95">
                  <c:v>90</c:v>
                </c:pt>
                <c:pt idx="96">
                  <c:v>92</c:v>
                </c:pt>
                <c:pt idx="97">
                  <c:v>94</c:v>
                </c:pt>
                <c:pt idx="98">
                  <c:v>96</c:v>
                </c:pt>
                <c:pt idx="99">
                  <c:v>98</c:v>
                </c:pt>
                <c:pt idx="100">
                  <c:v>100</c:v>
                </c:pt>
              </c:numCache>
            </c:numRef>
          </c:yVal>
          <c:smooth val="1"/>
          <c:extLst>
            <c:ext xmlns:c16="http://schemas.microsoft.com/office/drawing/2014/chart" uri="{C3380CC4-5D6E-409C-BE32-E72D297353CC}">
              <c16:uniqueId val="{00000001-35AA-489B-A104-64F62C8DC2DF}"/>
            </c:ext>
          </c:extLst>
        </c:ser>
        <c:ser>
          <c:idx val="1"/>
          <c:order val="2"/>
          <c:tx>
            <c:v>Forward</c:v>
          </c:tx>
          <c:marker>
            <c:symbol val="none"/>
          </c:marker>
          <c:xVal>
            <c:numRef>
              <c:f>'Slide 145g_new'!$Z$6:$Z$106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145g_new'!$AC$6:$AC$106</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yVal>
          <c:smooth val="1"/>
          <c:extLst>
            <c:ext xmlns:c16="http://schemas.microsoft.com/office/drawing/2014/chart" uri="{C3380CC4-5D6E-409C-BE32-E72D297353CC}">
              <c16:uniqueId val="{00000002-35AA-489B-A104-64F62C8DC2DF}"/>
            </c:ext>
          </c:extLst>
        </c:ser>
        <c:ser>
          <c:idx val="3"/>
          <c:order val="3"/>
          <c:tx>
            <c:v>Total</c:v>
          </c:tx>
          <c:marker>
            <c:symbol val="none"/>
          </c:marker>
          <c:xVal>
            <c:numRef>
              <c:f>'Slide 145g_new'!$Z$6:$Z$106</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145g_new'!$AD$6:$AD$106</c:f>
              <c:numCache>
                <c:formatCode>General</c:formatCode>
                <c:ptCount val="101"/>
                <c:pt idx="0">
                  <c:v>-100</c:v>
                </c:pt>
                <c:pt idx="1">
                  <c:v>-98</c:v>
                </c:pt>
                <c:pt idx="2">
                  <c:v>-96</c:v>
                </c:pt>
                <c:pt idx="3">
                  <c:v>-94</c:v>
                </c:pt>
                <c:pt idx="4">
                  <c:v>-92</c:v>
                </c:pt>
                <c:pt idx="5">
                  <c:v>-90</c:v>
                </c:pt>
                <c:pt idx="6">
                  <c:v>-88</c:v>
                </c:pt>
                <c:pt idx="7">
                  <c:v>-86</c:v>
                </c:pt>
                <c:pt idx="8">
                  <c:v>-84</c:v>
                </c:pt>
                <c:pt idx="9">
                  <c:v>-82</c:v>
                </c:pt>
                <c:pt idx="10">
                  <c:v>-80</c:v>
                </c:pt>
                <c:pt idx="11">
                  <c:v>-78</c:v>
                </c:pt>
                <c:pt idx="12">
                  <c:v>-76</c:v>
                </c:pt>
                <c:pt idx="13">
                  <c:v>-74</c:v>
                </c:pt>
                <c:pt idx="14">
                  <c:v>-72</c:v>
                </c:pt>
                <c:pt idx="15">
                  <c:v>-70</c:v>
                </c:pt>
                <c:pt idx="16">
                  <c:v>-68</c:v>
                </c:pt>
                <c:pt idx="17">
                  <c:v>-66</c:v>
                </c:pt>
                <c:pt idx="18">
                  <c:v>-64</c:v>
                </c:pt>
                <c:pt idx="19">
                  <c:v>-62</c:v>
                </c:pt>
                <c:pt idx="20">
                  <c:v>-60</c:v>
                </c:pt>
                <c:pt idx="21">
                  <c:v>-58</c:v>
                </c:pt>
                <c:pt idx="22">
                  <c:v>-56</c:v>
                </c:pt>
                <c:pt idx="23">
                  <c:v>-54</c:v>
                </c:pt>
                <c:pt idx="24">
                  <c:v>-52</c:v>
                </c:pt>
                <c:pt idx="25">
                  <c:v>-50</c:v>
                </c:pt>
                <c:pt idx="26">
                  <c:v>-48</c:v>
                </c:pt>
                <c:pt idx="27">
                  <c:v>-46</c:v>
                </c:pt>
                <c:pt idx="28">
                  <c:v>-44</c:v>
                </c:pt>
                <c:pt idx="29">
                  <c:v>-42</c:v>
                </c:pt>
                <c:pt idx="30">
                  <c:v>-40</c:v>
                </c:pt>
                <c:pt idx="31">
                  <c:v>-38</c:v>
                </c:pt>
                <c:pt idx="32">
                  <c:v>-36</c:v>
                </c:pt>
                <c:pt idx="33">
                  <c:v>-34</c:v>
                </c:pt>
                <c:pt idx="34">
                  <c:v>-32</c:v>
                </c:pt>
                <c:pt idx="35">
                  <c:v>-30</c:v>
                </c:pt>
                <c:pt idx="36">
                  <c:v>-28</c:v>
                </c:pt>
                <c:pt idx="37">
                  <c:v>-26</c:v>
                </c:pt>
                <c:pt idx="38">
                  <c:v>-24</c:v>
                </c:pt>
                <c:pt idx="39">
                  <c:v>-22</c:v>
                </c:pt>
                <c:pt idx="40">
                  <c:v>-20</c:v>
                </c:pt>
                <c:pt idx="41">
                  <c:v>-18</c:v>
                </c:pt>
                <c:pt idx="42">
                  <c:v>-16</c:v>
                </c:pt>
                <c:pt idx="43">
                  <c:v>-14</c:v>
                </c:pt>
                <c:pt idx="44">
                  <c:v>-12</c:v>
                </c:pt>
                <c:pt idx="45">
                  <c:v>-10</c:v>
                </c:pt>
                <c:pt idx="46">
                  <c:v>-8</c:v>
                </c:pt>
                <c:pt idx="47">
                  <c:v>-6</c:v>
                </c:pt>
                <c:pt idx="48">
                  <c:v>-4</c:v>
                </c:pt>
                <c:pt idx="49">
                  <c:v>-2</c:v>
                </c:pt>
                <c:pt idx="50">
                  <c:v>0</c:v>
                </c:pt>
                <c:pt idx="51">
                  <c:v>2</c:v>
                </c:pt>
                <c:pt idx="52">
                  <c:v>4</c:v>
                </c:pt>
                <c:pt idx="53">
                  <c:v>6</c:v>
                </c:pt>
                <c:pt idx="54">
                  <c:v>8</c:v>
                </c:pt>
                <c:pt idx="55">
                  <c:v>10</c:v>
                </c:pt>
                <c:pt idx="56">
                  <c:v>12</c:v>
                </c:pt>
                <c:pt idx="57">
                  <c:v>14</c:v>
                </c:pt>
                <c:pt idx="58">
                  <c:v>16</c:v>
                </c:pt>
                <c:pt idx="59">
                  <c:v>18</c:v>
                </c:pt>
                <c:pt idx="60">
                  <c:v>20</c:v>
                </c:pt>
                <c:pt idx="61">
                  <c:v>22</c:v>
                </c:pt>
                <c:pt idx="62">
                  <c:v>24</c:v>
                </c:pt>
                <c:pt idx="63">
                  <c:v>26</c:v>
                </c:pt>
                <c:pt idx="64">
                  <c:v>28</c:v>
                </c:pt>
                <c:pt idx="65">
                  <c:v>30</c:v>
                </c:pt>
                <c:pt idx="66">
                  <c:v>32</c:v>
                </c:pt>
                <c:pt idx="67">
                  <c:v>34</c:v>
                </c:pt>
                <c:pt idx="68">
                  <c:v>36</c:v>
                </c:pt>
                <c:pt idx="69">
                  <c:v>38</c:v>
                </c:pt>
                <c:pt idx="70">
                  <c:v>40</c:v>
                </c:pt>
                <c:pt idx="71">
                  <c:v>42</c:v>
                </c:pt>
                <c:pt idx="72">
                  <c:v>44</c:v>
                </c:pt>
                <c:pt idx="73">
                  <c:v>46</c:v>
                </c:pt>
                <c:pt idx="74">
                  <c:v>48</c:v>
                </c:pt>
                <c:pt idx="75">
                  <c:v>50</c:v>
                </c:pt>
                <c:pt idx="76">
                  <c:v>52</c:v>
                </c:pt>
                <c:pt idx="77">
                  <c:v>54</c:v>
                </c:pt>
                <c:pt idx="78">
                  <c:v>56</c:v>
                </c:pt>
                <c:pt idx="79">
                  <c:v>58</c:v>
                </c:pt>
                <c:pt idx="80">
                  <c:v>60</c:v>
                </c:pt>
                <c:pt idx="81">
                  <c:v>62</c:v>
                </c:pt>
                <c:pt idx="82">
                  <c:v>64</c:v>
                </c:pt>
                <c:pt idx="83">
                  <c:v>66</c:v>
                </c:pt>
                <c:pt idx="84">
                  <c:v>68</c:v>
                </c:pt>
                <c:pt idx="85">
                  <c:v>70</c:v>
                </c:pt>
                <c:pt idx="86">
                  <c:v>72</c:v>
                </c:pt>
                <c:pt idx="87">
                  <c:v>74</c:v>
                </c:pt>
                <c:pt idx="88">
                  <c:v>76</c:v>
                </c:pt>
                <c:pt idx="89">
                  <c:v>78</c:v>
                </c:pt>
                <c:pt idx="90">
                  <c:v>80</c:v>
                </c:pt>
                <c:pt idx="91">
                  <c:v>82</c:v>
                </c:pt>
                <c:pt idx="92">
                  <c:v>84</c:v>
                </c:pt>
                <c:pt idx="93">
                  <c:v>86</c:v>
                </c:pt>
                <c:pt idx="94">
                  <c:v>88</c:v>
                </c:pt>
                <c:pt idx="95">
                  <c:v>90</c:v>
                </c:pt>
                <c:pt idx="96">
                  <c:v>92</c:v>
                </c:pt>
                <c:pt idx="97">
                  <c:v>94</c:v>
                </c:pt>
                <c:pt idx="98">
                  <c:v>96</c:v>
                </c:pt>
                <c:pt idx="99">
                  <c:v>98</c:v>
                </c:pt>
                <c:pt idx="100">
                  <c:v>100</c:v>
                </c:pt>
              </c:numCache>
            </c:numRef>
          </c:yVal>
          <c:smooth val="1"/>
          <c:extLst>
            <c:ext xmlns:c16="http://schemas.microsoft.com/office/drawing/2014/chart" uri="{C3380CC4-5D6E-409C-BE32-E72D297353CC}">
              <c16:uniqueId val="{00000003-35AA-489B-A104-64F62C8DC2DF}"/>
            </c:ext>
          </c:extLst>
        </c:ser>
        <c:dLbls>
          <c:showLegendKey val="0"/>
          <c:showVal val="0"/>
          <c:showCatName val="0"/>
          <c:showSerName val="0"/>
          <c:showPercent val="0"/>
          <c:showBubbleSize val="0"/>
        </c:dLbls>
        <c:axId val="109231104"/>
        <c:axId val="109245568"/>
      </c:scatterChart>
      <c:valAx>
        <c:axId val="109231104"/>
        <c:scaling>
          <c:orientation val="minMax"/>
          <c:max val="200"/>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 At Maturity</a:t>
            </a:r>
          </a:p>
        </c:rich>
      </c:tx>
      <c:overlay val="0"/>
    </c:title>
    <c:autoTitleDeleted val="0"/>
    <c:plotArea>
      <c:layout/>
      <c:scatterChart>
        <c:scatterStyle val="smoothMarker"/>
        <c:varyColors val="0"/>
        <c:ser>
          <c:idx val="2"/>
          <c:order val="0"/>
          <c:marker>
            <c:symbol val="none"/>
          </c:marker>
          <c:xVal>
            <c:numRef>
              <c:f>'Slide 159 _1_new'!$A$4:$A$104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159 _1_new'!$F$4:$F$104</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1000</c:v>
                </c:pt>
                <c:pt idx="62">
                  <c:v>1000</c:v>
                </c:pt>
                <c:pt idx="63">
                  <c:v>1000</c:v>
                </c:pt>
                <c:pt idx="64">
                  <c:v>1000</c:v>
                </c:pt>
                <c:pt idx="65">
                  <c:v>1000</c:v>
                </c:pt>
                <c:pt idx="66">
                  <c:v>1000</c:v>
                </c:pt>
                <c:pt idx="67">
                  <c:v>1000</c:v>
                </c:pt>
                <c:pt idx="68">
                  <c:v>1000</c:v>
                </c:pt>
                <c:pt idx="69">
                  <c:v>1000</c:v>
                </c:pt>
                <c:pt idx="70">
                  <c:v>1000</c:v>
                </c:pt>
                <c:pt idx="71">
                  <c:v>1000</c:v>
                </c:pt>
                <c:pt idx="72">
                  <c:v>1000</c:v>
                </c:pt>
                <c:pt idx="73">
                  <c:v>1000</c:v>
                </c:pt>
                <c:pt idx="74">
                  <c:v>1000</c:v>
                </c:pt>
                <c:pt idx="75">
                  <c:v>999.99999999988358</c:v>
                </c:pt>
                <c:pt idx="76">
                  <c:v>1000</c:v>
                </c:pt>
                <c:pt idx="77">
                  <c:v>1000</c:v>
                </c:pt>
                <c:pt idx="78">
                  <c:v>1000</c:v>
                </c:pt>
                <c:pt idx="79">
                  <c:v>999.99999999988358</c:v>
                </c:pt>
                <c:pt idx="80">
                  <c:v>1000</c:v>
                </c:pt>
                <c:pt idx="81">
                  <c:v>1000</c:v>
                </c:pt>
                <c:pt idx="82">
                  <c:v>1000</c:v>
                </c:pt>
                <c:pt idx="83">
                  <c:v>999.99999999988358</c:v>
                </c:pt>
                <c:pt idx="84">
                  <c:v>1000</c:v>
                </c:pt>
                <c:pt idx="85">
                  <c:v>1000</c:v>
                </c:pt>
                <c:pt idx="86">
                  <c:v>1000</c:v>
                </c:pt>
                <c:pt idx="87">
                  <c:v>1000</c:v>
                </c:pt>
                <c:pt idx="88">
                  <c:v>1000</c:v>
                </c:pt>
                <c:pt idx="89">
                  <c:v>1000</c:v>
                </c:pt>
                <c:pt idx="90">
                  <c:v>999.99999999976717</c:v>
                </c:pt>
                <c:pt idx="91">
                  <c:v>1000</c:v>
                </c:pt>
                <c:pt idx="92">
                  <c:v>1000</c:v>
                </c:pt>
                <c:pt idx="93">
                  <c:v>1000</c:v>
                </c:pt>
                <c:pt idx="94">
                  <c:v>1000</c:v>
                </c:pt>
                <c:pt idx="95">
                  <c:v>1000</c:v>
                </c:pt>
                <c:pt idx="96">
                  <c:v>1000</c:v>
                </c:pt>
                <c:pt idx="97">
                  <c:v>1000</c:v>
                </c:pt>
                <c:pt idx="98">
                  <c:v>999.99999999976717</c:v>
                </c:pt>
                <c:pt idx="99">
                  <c:v>1000</c:v>
                </c:pt>
                <c:pt idx="100">
                  <c:v>1000</c:v>
                </c:pt>
              </c:numCache>
            </c:numRef>
          </c:yVal>
          <c:smooth val="1"/>
          <c:extLst>
            <c:ext xmlns:c16="http://schemas.microsoft.com/office/drawing/2014/chart" uri="{C3380CC4-5D6E-409C-BE32-E72D297353CC}">
              <c16:uniqueId val="{00000000-C2FF-4D88-9E5D-8024F1796224}"/>
            </c:ext>
          </c:extLst>
        </c:ser>
        <c:ser>
          <c:idx val="0"/>
          <c:order val="1"/>
          <c:marker>
            <c:symbol val="none"/>
          </c:marker>
          <c:xVal>
            <c:numRef>
              <c:f>'Slide 159 _1_new'!$A$4:$A$104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159 _1_new'!$G$4:$G$104</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1000</c:v>
                </c:pt>
                <c:pt idx="61">
                  <c:v>1000</c:v>
                </c:pt>
                <c:pt idx="62">
                  <c:v>1000</c:v>
                </c:pt>
                <c:pt idx="63">
                  <c:v>1000</c:v>
                </c:pt>
                <c:pt idx="64">
                  <c:v>1000</c:v>
                </c:pt>
                <c:pt idx="65">
                  <c:v>1000</c:v>
                </c:pt>
                <c:pt idx="66">
                  <c:v>1000</c:v>
                </c:pt>
                <c:pt idx="67">
                  <c:v>1000</c:v>
                </c:pt>
                <c:pt idx="68">
                  <c:v>1000</c:v>
                </c:pt>
                <c:pt idx="69">
                  <c:v>1000</c:v>
                </c:pt>
                <c:pt idx="70">
                  <c:v>1000</c:v>
                </c:pt>
                <c:pt idx="71">
                  <c:v>1000</c:v>
                </c:pt>
                <c:pt idx="72">
                  <c:v>1000</c:v>
                </c:pt>
                <c:pt idx="73">
                  <c:v>1000</c:v>
                </c:pt>
                <c:pt idx="74">
                  <c:v>1000</c:v>
                </c:pt>
                <c:pt idx="75">
                  <c:v>1000</c:v>
                </c:pt>
                <c:pt idx="76">
                  <c:v>1000</c:v>
                </c:pt>
                <c:pt idx="77">
                  <c:v>1000</c:v>
                </c:pt>
                <c:pt idx="78">
                  <c:v>1000</c:v>
                </c:pt>
                <c:pt idx="79">
                  <c:v>1000</c:v>
                </c:pt>
                <c:pt idx="80">
                  <c:v>1000</c:v>
                </c:pt>
                <c:pt idx="81">
                  <c:v>1000</c:v>
                </c:pt>
                <c:pt idx="82">
                  <c:v>1000</c:v>
                </c:pt>
                <c:pt idx="83">
                  <c:v>1000</c:v>
                </c:pt>
                <c:pt idx="84">
                  <c:v>1000</c:v>
                </c:pt>
                <c:pt idx="85">
                  <c:v>1000</c:v>
                </c:pt>
                <c:pt idx="86">
                  <c:v>1000</c:v>
                </c:pt>
                <c:pt idx="87">
                  <c:v>1000</c:v>
                </c:pt>
                <c:pt idx="88">
                  <c:v>1000</c:v>
                </c:pt>
                <c:pt idx="89">
                  <c:v>1000</c:v>
                </c:pt>
                <c:pt idx="90">
                  <c:v>1000</c:v>
                </c:pt>
                <c:pt idx="91">
                  <c:v>1000</c:v>
                </c:pt>
                <c:pt idx="92">
                  <c:v>1000</c:v>
                </c:pt>
                <c:pt idx="93">
                  <c:v>1000</c:v>
                </c:pt>
                <c:pt idx="94">
                  <c:v>1000</c:v>
                </c:pt>
                <c:pt idx="95">
                  <c:v>1000</c:v>
                </c:pt>
                <c:pt idx="96">
                  <c:v>1000</c:v>
                </c:pt>
                <c:pt idx="97">
                  <c:v>1000</c:v>
                </c:pt>
                <c:pt idx="98">
                  <c:v>1000</c:v>
                </c:pt>
                <c:pt idx="99">
                  <c:v>1000</c:v>
                </c:pt>
                <c:pt idx="100">
                  <c:v>1000</c:v>
                </c:pt>
              </c:numCache>
            </c:numRef>
          </c:yVal>
          <c:smooth val="1"/>
          <c:extLst>
            <c:ext xmlns:c16="http://schemas.microsoft.com/office/drawing/2014/chart" uri="{C3380CC4-5D6E-409C-BE32-E72D297353CC}">
              <c16:uniqueId val="{00000001-C2FF-4D88-9E5D-8024F1796224}"/>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Replication</a:t>
            </a:r>
            <a:r>
              <a:rPr lang="en-US" baseline="0"/>
              <a:t> Slippage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spPr>
            <a:ln w="28575" cap="rnd" cmpd="sng" algn="ctr">
              <a:solidFill>
                <a:schemeClr val="accent2">
                  <a:shade val="95000"/>
                  <a:satMod val="105000"/>
                </a:schemeClr>
              </a:solidFill>
              <a:prstDash val="solid"/>
              <a:round/>
            </a:ln>
            <a:effectLst/>
          </c:spPr>
          <c:marker>
            <c:symbol val="none"/>
          </c:marker>
          <c:xVal>
            <c:numRef>
              <c:f>'Slide 159 _1_new'!$A$4:$A$104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159 _1_new'!$H$4:$H$104</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-1000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-1.1641532182693481E-10</c:v>
                </c:pt>
                <c:pt idx="76">
                  <c:v>0</c:v>
                </c:pt>
                <c:pt idx="77">
                  <c:v>0</c:v>
                </c:pt>
                <c:pt idx="78">
                  <c:v>0</c:v>
                </c:pt>
                <c:pt idx="79">
                  <c:v>-1.1641532182693481E-10</c:v>
                </c:pt>
                <c:pt idx="80">
                  <c:v>0</c:v>
                </c:pt>
                <c:pt idx="81">
                  <c:v>0</c:v>
                </c:pt>
                <c:pt idx="82">
                  <c:v>0</c:v>
                </c:pt>
                <c:pt idx="83">
                  <c:v>-1.1641532182693481E-10</c:v>
                </c:pt>
                <c:pt idx="84">
                  <c:v>0</c:v>
                </c:pt>
                <c:pt idx="85">
                  <c:v>0</c:v>
                </c:pt>
                <c:pt idx="86">
                  <c:v>0</c:v>
                </c:pt>
                <c:pt idx="87">
                  <c:v>0</c:v>
                </c:pt>
                <c:pt idx="88">
                  <c:v>0</c:v>
                </c:pt>
                <c:pt idx="89">
                  <c:v>0</c:v>
                </c:pt>
                <c:pt idx="90">
                  <c:v>-2.3283064365386963E-10</c:v>
                </c:pt>
                <c:pt idx="91">
                  <c:v>0</c:v>
                </c:pt>
                <c:pt idx="92">
                  <c:v>0</c:v>
                </c:pt>
                <c:pt idx="93">
                  <c:v>0</c:v>
                </c:pt>
                <c:pt idx="94">
                  <c:v>0</c:v>
                </c:pt>
                <c:pt idx="95">
                  <c:v>0</c:v>
                </c:pt>
                <c:pt idx="96">
                  <c:v>0</c:v>
                </c:pt>
                <c:pt idx="97">
                  <c:v>0</c:v>
                </c:pt>
                <c:pt idx="98">
                  <c:v>-2.3283064365386963E-10</c:v>
                </c:pt>
                <c:pt idx="99">
                  <c:v>0</c:v>
                </c:pt>
                <c:pt idx="100">
                  <c:v>0</c:v>
                </c:pt>
              </c:numCache>
            </c:numRef>
          </c:yVal>
          <c:smooth val="1"/>
          <c:extLst>
            <c:ext xmlns:c16="http://schemas.microsoft.com/office/drawing/2014/chart" uri="{C3380CC4-5D6E-409C-BE32-E72D297353CC}">
              <c16:uniqueId val="{00000000-A4D0-4763-BCB3-5A0DE7C22053}"/>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Stock Price on maturity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245568"/>
        <c:crosses val="autoZero"/>
        <c:crossBetween val="midCat"/>
      </c:valAx>
      <c:valAx>
        <c:axId val="109245568"/>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231104"/>
        <c:crosses val="autoZero"/>
        <c:crossBetween val="midCat"/>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 At Maturity</a:t>
            </a:r>
          </a:p>
        </c:rich>
      </c:tx>
      <c:overlay val="0"/>
    </c:title>
    <c:autoTitleDeleted val="0"/>
    <c:plotArea>
      <c:layout/>
      <c:scatterChart>
        <c:scatterStyle val="smoothMarker"/>
        <c:varyColors val="0"/>
        <c:ser>
          <c:idx val="2"/>
          <c:order val="0"/>
          <c:marker>
            <c:symbol val="none"/>
          </c:marker>
          <c:xVal>
            <c:numRef>
              <c:f>'Slide 159 _2_new'!$A$4:$A$104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159 _2_new'!$F$4:$F$104</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200</c:v>
                </c:pt>
                <c:pt idx="17">
                  <c:v>400</c:v>
                </c:pt>
                <c:pt idx="18">
                  <c:v>600</c:v>
                </c:pt>
                <c:pt idx="19">
                  <c:v>800</c:v>
                </c:pt>
                <c:pt idx="20">
                  <c:v>1000</c:v>
                </c:pt>
                <c:pt idx="21">
                  <c:v>1200</c:v>
                </c:pt>
                <c:pt idx="22">
                  <c:v>1400</c:v>
                </c:pt>
                <c:pt idx="23">
                  <c:v>1600</c:v>
                </c:pt>
                <c:pt idx="24">
                  <c:v>1800</c:v>
                </c:pt>
                <c:pt idx="25">
                  <c:v>2000</c:v>
                </c:pt>
                <c:pt idx="26">
                  <c:v>2330</c:v>
                </c:pt>
                <c:pt idx="27">
                  <c:v>2660</c:v>
                </c:pt>
                <c:pt idx="28">
                  <c:v>2990</c:v>
                </c:pt>
                <c:pt idx="29">
                  <c:v>3320</c:v>
                </c:pt>
                <c:pt idx="30">
                  <c:v>3650</c:v>
                </c:pt>
                <c:pt idx="31">
                  <c:v>3980</c:v>
                </c:pt>
                <c:pt idx="32">
                  <c:v>4310</c:v>
                </c:pt>
                <c:pt idx="33">
                  <c:v>4640</c:v>
                </c:pt>
                <c:pt idx="34">
                  <c:v>4970</c:v>
                </c:pt>
                <c:pt idx="35">
                  <c:v>5300</c:v>
                </c:pt>
                <c:pt idx="36">
                  <c:v>5670</c:v>
                </c:pt>
                <c:pt idx="37">
                  <c:v>6040</c:v>
                </c:pt>
                <c:pt idx="38">
                  <c:v>6410</c:v>
                </c:pt>
                <c:pt idx="39">
                  <c:v>6780</c:v>
                </c:pt>
                <c:pt idx="40">
                  <c:v>7150</c:v>
                </c:pt>
                <c:pt idx="41">
                  <c:v>7520</c:v>
                </c:pt>
                <c:pt idx="42">
                  <c:v>7890</c:v>
                </c:pt>
                <c:pt idx="43">
                  <c:v>8260</c:v>
                </c:pt>
                <c:pt idx="44">
                  <c:v>8630</c:v>
                </c:pt>
                <c:pt idx="45">
                  <c:v>9000</c:v>
                </c:pt>
                <c:pt idx="46">
                  <c:v>9370</c:v>
                </c:pt>
                <c:pt idx="47">
                  <c:v>9740</c:v>
                </c:pt>
                <c:pt idx="48">
                  <c:v>10110</c:v>
                </c:pt>
                <c:pt idx="49">
                  <c:v>10480</c:v>
                </c:pt>
                <c:pt idx="50">
                  <c:v>10850</c:v>
                </c:pt>
                <c:pt idx="51">
                  <c:v>11320</c:v>
                </c:pt>
                <c:pt idx="52">
                  <c:v>11790</c:v>
                </c:pt>
                <c:pt idx="53">
                  <c:v>12260</c:v>
                </c:pt>
                <c:pt idx="54">
                  <c:v>12730</c:v>
                </c:pt>
                <c:pt idx="55">
                  <c:v>13200</c:v>
                </c:pt>
                <c:pt idx="56">
                  <c:v>13670</c:v>
                </c:pt>
                <c:pt idx="57">
                  <c:v>14140</c:v>
                </c:pt>
                <c:pt idx="58">
                  <c:v>14610</c:v>
                </c:pt>
                <c:pt idx="59">
                  <c:v>15080</c:v>
                </c:pt>
                <c:pt idx="60">
                  <c:v>15550</c:v>
                </c:pt>
                <c:pt idx="61">
                  <c:v>16020</c:v>
                </c:pt>
                <c:pt idx="62">
                  <c:v>16490</c:v>
                </c:pt>
                <c:pt idx="63">
                  <c:v>16960</c:v>
                </c:pt>
                <c:pt idx="64">
                  <c:v>17430</c:v>
                </c:pt>
                <c:pt idx="65">
                  <c:v>17900</c:v>
                </c:pt>
                <c:pt idx="66">
                  <c:v>18370</c:v>
                </c:pt>
                <c:pt idx="67">
                  <c:v>18840</c:v>
                </c:pt>
                <c:pt idx="68">
                  <c:v>19310</c:v>
                </c:pt>
                <c:pt idx="69">
                  <c:v>19780</c:v>
                </c:pt>
                <c:pt idx="70">
                  <c:v>20250</c:v>
                </c:pt>
                <c:pt idx="71">
                  <c:v>20720</c:v>
                </c:pt>
                <c:pt idx="72">
                  <c:v>21190</c:v>
                </c:pt>
                <c:pt idx="73">
                  <c:v>21660</c:v>
                </c:pt>
                <c:pt idx="74">
                  <c:v>22130</c:v>
                </c:pt>
                <c:pt idx="75">
                  <c:v>22600</c:v>
                </c:pt>
                <c:pt idx="76">
                  <c:v>23070</c:v>
                </c:pt>
                <c:pt idx="77">
                  <c:v>23540</c:v>
                </c:pt>
                <c:pt idx="78">
                  <c:v>24010</c:v>
                </c:pt>
                <c:pt idx="79">
                  <c:v>24480</c:v>
                </c:pt>
                <c:pt idx="80">
                  <c:v>24950</c:v>
                </c:pt>
                <c:pt idx="81">
                  <c:v>25420</c:v>
                </c:pt>
                <c:pt idx="82">
                  <c:v>25890</c:v>
                </c:pt>
                <c:pt idx="83">
                  <c:v>26360</c:v>
                </c:pt>
                <c:pt idx="84">
                  <c:v>26830</c:v>
                </c:pt>
                <c:pt idx="85">
                  <c:v>27300</c:v>
                </c:pt>
                <c:pt idx="86">
                  <c:v>27770</c:v>
                </c:pt>
                <c:pt idx="87">
                  <c:v>28240</c:v>
                </c:pt>
                <c:pt idx="88">
                  <c:v>28710</c:v>
                </c:pt>
                <c:pt idx="89">
                  <c:v>29180</c:v>
                </c:pt>
                <c:pt idx="90">
                  <c:v>29650</c:v>
                </c:pt>
                <c:pt idx="91">
                  <c:v>30120</c:v>
                </c:pt>
                <c:pt idx="92">
                  <c:v>30590</c:v>
                </c:pt>
                <c:pt idx="93">
                  <c:v>31060</c:v>
                </c:pt>
                <c:pt idx="94">
                  <c:v>31530</c:v>
                </c:pt>
                <c:pt idx="95">
                  <c:v>32000</c:v>
                </c:pt>
                <c:pt idx="96">
                  <c:v>32470</c:v>
                </c:pt>
                <c:pt idx="97">
                  <c:v>32940</c:v>
                </c:pt>
                <c:pt idx="98">
                  <c:v>33410</c:v>
                </c:pt>
                <c:pt idx="99">
                  <c:v>33880</c:v>
                </c:pt>
                <c:pt idx="100">
                  <c:v>34350</c:v>
                </c:pt>
              </c:numCache>
            </c:numRef>
          </c:yVal>
          <c:smooth val="1"/>
          <c:extLst>
            <c:ext xmlns:c16="http://schemas.microsoft.com/office/drawing/2014/chart" uri="{C3380CC4-5D6E-409C-BE32-E72D297353CC}">
              <c16:uniqueId val="{00000000-E468-48A3-8B09-6C6079C7F531}"/>
            </c:ext>
          </c:extLst>
        </c:ser>
        <c:ser>
          <c:idx val="0"/>
          <c:order val="1"/>
          <c:marker>
            <c:symbol val="none"/>
          </c:marker>
          <c:xVal>
            <c:numRef>
              <c:f>'Slide 159 _2_new'!$A$4:$A$104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159 _2_new'!$G$4:$G$104</c:f>
              <c:numCache>
                <c:formatCode>General</c:formatCode>
                <c:ptCount val="101"/>
                <c:pt idx="0">
                  <c:v>0</c:v>
                </c:pt>
                <c:pt idx="1">
                  <c:v>0</c:v>
                </c:pt>
                <c:pt idx="2">
                  <c:v>0</c:v>
                </c:pt>
                <c:pt idx="3">
                  <c:v>0</c:v>
                </c:pt>
                <c:pt idx="4">
                  <c:v>0</c:v>
                </c:pt>
                <c:pt idx="5">
                  <c:v>0</c:v>
                </c:pt>
                <c:pt idx="6">
                  <c:v>24</c:v>
                </c:pt>
                <c:pt idx="7">
                  <c:v>76</c:v>
                </c:pt>
                <c:pt idx="8">
                  <c:v>136</c:v>
                </c:pt>
                <c:pt idx="9">
                  <c:v>204</c:v>
                </c:pt>
                <c:pt idx="10">
                  <c:v>280</c:v>
                </c:pt>
                <c:pt idx="11">
                  <c:v>364</c:v>
                </c:pt>
                <c:pt idx="12">
                  <c:v>456</c:v>
                </c:pt>
                <c:pt idx="13">
                  <c:v>556</c:v>
                </c:pt>
                <c:pt idx="14">
                  <c:v>664</c:v>
                </c:pt>
                <c:pt idx="15">
                  <c:v>780</c:v>
                </c:pt>
                <c:pt idx="16">
                  <c:v>904</c:v>
                </c:pt>
                <c:pt idx="17">
                  <c:v>1036</c:v>
                </c:pt>
                <c:pt idx="18">
                  <c:v>1176</c:v>
                </c:pt>
                <c:pt idx="19">
                  <c:v>1324</c:v>
                </c:pt>
                <c:pt idx="20">
                  <c:v>1480</c:v>
                </c:pt>
                <c:pt idx="21">
                  <c:v>1644</c:v>
                </c:pt>
                <c:pt idx="22">
                  <c:v>1816</c:v>
                </c:pt>
                <c:pt idx="23">
                  <c:v>1996</c:v>
                </c:pt>
                <c:pt idx="24">
                  <c:v>2184</c:v>
                </c:pt>
                <c:pt idx="25">
                  <c:v>2380</c:v>
                </c:pt>
                <c:pt idx="26">
                  <c:v>2584</c:v>
                </c:pt>
                <c:pt idx="27">
                  <c:v>2796</c:v>
                </c:pt>
                <c:pt idx="28">
                  <c:v>3016</c:v>
                </c:pt>
                <c:pt idx="29">
                  <c:v>3244</c:v>
                </c:pt>
                <c:pt idx="30">
                  <c:v>3480</c:v>
                </c:pt>
                <c:pt idx="31">
                  <c:v>3724</c:v>
                </c:pt>
                <c:pt idx="32">
                  <c:v>3976</c:v>
                </c:pt>
                <c:pt idx="33">
                  <c:v>4236</c:v>
                </c:pt>
                <c:pt idx="34">
                  <c:v>4504</c:v>
                </c:pt>
                <c:pt idx="35">
                  <c:v>4780</c:v>
                </c:pt>
                <c:pt idx="36">
                  <c:v>5064</c:v>
                </c:pt>
                <c:pt idx="37">
                  <c:v>5356</c:v>
                </c:pt>
                <c:pt idx="38">
                  <c:v>5656</c:v>
                </c:pt>
                <c:pt idx="39">
                  <c:v>5964</c:v>
                </c:pt>
                <c:pt idx="40">
                  <c:v>6280</c:v>
                </c:pt>
                <c:pt idx="41">
                  <c:v>6604</c:v>
                </c:pt>
                <c:pt idx="42">
                  <c:v>6936</c:v>
                </c:pt>
                <c:pt idx="43">
                  <c:v>7276</c:v>
                </c:pt>
                <c:pt idx="44">
                  <c:v>7624</c:v>
                </c:pt>
                <c:pt idx="45">
                  <c:v>7980</c:v>
                </c:pt>
                <c:pt idx="46">
                  <c:v>8344</c:v>
                </c:pt>
                <c:pt idx="47">
                  <c:v>8716</c:v>
                </c:pt>
                <c:pt idx="48">
                  <c:v>9096</c:v>
                </c:pt>
                <c:pt idx="49">
                  <c:v>9484</c:v>
                </c:pt>
                <c:pt idx="50">
                  <c:v>9880</c:v>
                </c:pt>
                <c:pt idx="51">
                  <c:v>10284</c:v>
                </c:pt>
                <c:pt idx="52">
                  <c:v>10696</c:v>
                </c:pt>
                <c:pt idx="53">
                  <c:v>11116</c:v>
                </c:pt>
                <c:pt idx="54">
                  <c:v>11544</c:v>
                </c:pt>
                <c:pt idx="55">
                  <c:v>11980</c:v>
                </c:pt>
                <c:pt idx="56">
                  <c:v>12424</c:v>
                </c:pt>
                <c:pt idx="57">
                  <c:v>12876</c:v>
                </c:pt>
                <c:pt idx="58">
                  <c:v>13336</c:v>
                </c:pt>
                <c:pt idx="59">
                  <c:v>13804</c:v>
                </c:pt>
                <c:pt idx="60">
                  <c:v>14280</c:v>
                </c:pt>
                <c:pt idx="61">
                  <c:v>14764</c:v>
                </c:pt>
                <c:pt idx="62">
                  <c:v>15256</c:v>
                </c:pt>
                <c:pt idx="63">
                  <c:v>15756</c:v>
                </c:pt>
                <c:pt idx="64">
                  <c:v>16264</c:v>
                </c:pt>
                <c:pt idx="65">
                  <c:v>16780</c:v>
                </c:pt>
                <c:pt idx="66">
                  <c:v>17304</c:v>
                </c:pt>
                <c:pt idx="67">
                  <c:v>17836</c:v>
                </c:pt>
                <c:pt idx="68">
                  <c:v>18376</c:v>
                </c:pt>
                <c:pt idx="69">
                  <c:v>18924</c:v>
                </c:pt>
                <c:pt idx="70">
                  <c:v>19480</c:v>
                </c:pt>
                <c:pt idx="71">
                  <c:v>20044</c:v>
                </c:pt>
                <c:pt idx="72">
                  <c:v>20616</c:v>
                </c:pt>
                <c:pt idx="73">
                  <c:v>21196</c:v>
                </c:pt>
                <c:pt idx="74">
                  <c:v>21784</c:v>
                </c:pt>
                <c:pt idx="75">
                  <c:v>22380</c:v>
                </c:pt>
                <c:pt idx="76">
                  <c:v>22984</c:v>
                </c:pt>
                <c:pt idx="77">
                  <c:v>23596</c:v>
                </c:pt>
                <c:pt idx="78">
                  <c:v>24216</c:v>
                </c:pt>
                <c:pt idx="79">
                  <c:v>24844</c:v>
                </c:pt>
                <c:pt idx="80">
                  <c:v>25480</c:v>
                </c:pt>
                <c:pt idx="81">
                  <c:v>26124</c:v>
                </c:pt>
                <c:pt idx="82">
                  <c:v>26776</c:v>
                </c:pt>
                <c:pt idx="83">
                  <c:v>27436</c:v>
                </c:pt>
                <c:pt idx="84">
                  <c:v>28104</c:v>
                </c:pt>
                <c:pt idx="85">
                  <c:v>28780</c:v>
                </c:pt>
                <c:pt idx="86">
                  <c:v>29464</c:v>
                </c:pt>
                <c:pt idx="87">
                  <c:v>30156</c:v>
                </c:pt>
                <c:pt idx="88">
                  <c:v>30856</c:v>
                </c:pt>
                <c:pt idx="89">
                  <c:v>31564</c:v>
                </c:pt>
                <c:pt idx="90">
                  <c:v>32280</c:v>
                </c:pt>
                <c:pt idx="91">
                  <c:v>33004</c:v>
                </c:pt>
                <c:pt idx="92">
                  <c:v>33736</c:v>
                </c:pt>
                <c:pt idx="93">
                  <c:v>34476</c:v>
                </c:pt>
                <c:pt idx="94">
                  <c:v>35224</c:v>
                </c:pt>
                <c:pt idx="95">
                  <c:v>35980</c:v>
                </c:pt>
                <c:pt idx="96">
                  <c:v>36744</c:v>
                </c:pt>
                <c:pt idx="97">
                  <c:v>37516</c:v>
                </c:pt>
                <c:pt idx="98">
                  <c:v>38296</c:v>
                </c:pt>
                <c:pt idx="99">
                  <c:v>39084</c:v>
                </c:pt>
                <c:pt idx="100">
                  <c:v>39880</c:v>
                </c:pt>
              </c:numCache>
            </c:numRef>
          </c:yVal>
          <c:smooth val="1"/>
          <c:extLst>
            <c:ext xmlns:c16="http://schemas.microsoft.com/office/drawing/2014/chart" uri="{C3380CC4-5D6E-409C-BE32-E72D297353CC}">
              <c16:uniqueId val="{00000001-E468-48A3-8B09-6C6079C7F531}"/>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Replication</a:t>
            </a:r>
            <a:r>
              <a:rPr lang="en-US" baseline="0"/>
              <a:t> Slippage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spPr>
            <a:ln w="28575" cap="rnd" cmpd="sng" algn="ctr">
              <a:solidFill>
                <a:schemeClr val="accent2">
                  <a:shade val="95000"/>
                  <a:satMod val="105000"/>
                </a:schemeClr>
              </a:solidFill>
              <a:prstDash val="solid"/>
              <a:round/>
            </a:ln>
            <a:effectLst/>
          </c:spPr>
          <c:marker>
            <c:symbol val="none"/>
          </c:marker>
          <c:xVal>
            <c:numRef>
              <c:f>'Slide 159 _2_new'!$A$4:$A$104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159 _2_new'!$H$4:$H$104</c:f>
              <c:numCache>
                <c:formatCode>General</c:formatCode>
                <c:ptCount val="101"/>
                <c:pt idx="0">
                  <c:v>0</c:v>
                </c:pt>
                <c:pt idx="1">
                  <c:v>0</c:v>
                </c:pt>
                <c:pt idx="2">
                  <c:v>0</c:v>
                </c:pt>
                <c:pt idx="3">
                  <c:v>0</c:v>
                </c:pt>
                <c:pt idx="4">
                  <c:v>0</c:v>
                </c:pt>
                <c:pt idx="5">
                  <c:v>0</c:v>
                </c:pt>
                <c:pt idx="6">
                  <c:v>-24</c:v>
                </c:pt>
                <c:pt idx="7">
                  <c:v>-76</c:v>
                </c:pt>
                <c:pt idx="8">
                  <c:v>-136</c:v>
                </c:pt>
                <c:pt idx="9">
                  <c:v>-204</c:v>
                </c:pt>
                <c:pt idx="10">
                  <c:v>-280</c:v>
                </c:pt>
                <c:pt idx="11">
                  <c:v>-364</c:v>
                </c:pt>
                <c:pt idx="12">
                  <c:v>-456</c:v>
                </c:pt>
                <c:pt idx="13">
                  <c:v>-556</c:v>
                </c:pt>
                <c:pt idx="14">
                  <c:v>-664</c:v>
                </c:pt>
                <c:pt idx="15">
                  <c:v>-780</c:v>
                </c:pt>
                <c:pt idx="16">
                  <c:v>-704</c:v>
                </c:pt>
                <c:pt idx="17">
                  <c:v>-636</c:v>
                </c:pt>
                <c:pt idx="18">
                  <c:v>-576</c:v>
                </c:pt>
                <c:pt idx="19">
                  <c:v>-524</c:v>
                </c:pt>
                <c:pt idx="20">
                  <c:v>-480</c:v>
                </c:pt>
                <c:pt idx="21">
                  <c:v>-444</c:v>
                </c:pt>
                <c:pt idx="22">
                  <c:v>-416</c:v>
                </c:pt>
                <c:pt idx="23">
                  <c:v>-396</c:v>
                </c:pt>
                <c:pt idx="24">
                  <c:v>-384</c:v>
                </c:pt>
                <c:pt idx="25">
                  <c:v>-380</c:v>
                </c:pt>
                <c:pt idx="26">
                  <c:v>-254</c:v>
                </c:pt>
                <c:pt idx="27">
                  <c:v>-136</c:v>
                </c:pt>
                <c:pt idx="28">
                  <c:v>-26</c:v>
                </c:pt>
                <c:pt idx="29">
                  <c:v>76</c:v>
                </c:pt>
                <c:pt idx="30">
                  <c:v>170</c:v>
                </c:pt>
                <c:pt idx="31">
                  <c:v>256</c:v>
                </c:pt>
                <c:pt idx="32">
                  <c:v>334</c:v>
                </c:pt>
                <c:pt idx="33">
                  <c:v>404</c:v>
                </c:pt>
                <c:pt idx="34">
                  <c:v>466</c:v>
                </c:pt>
                <c:pt idx="35">
                  <c:v>520</c:v>
                </c:pt>
                <c:pt idx="36">
                  <c:v>606</c:v>
                </c:pt>
                <c:pt idx="37">
                  <c:v>684</c:v>
                </c:pt>
                <c:pt idx="38">
                  <c:v>754</c:v>
                </c:pt>
                <c:pt idx="39">
                  <c:v>816</c:v>
                </c:pt>
                <c:pt idx="40">
                  <c:v>870</c:v>
                </c:pt>
                <c:pt idx="41">
                  <c:v>916</c:v>
                </c:pt>
                <c:pt idx="42">
                  <c:v>954</c:v>
                </c:pt>
                <c:pt idx="43">
                  <c:v>984</c:v>
                </c:pt>
                <c:pt idx="44">
                  <c:v>1006</c:v>
                </c:pt>
                <c:pt idx="45">
                  <c:v>1020</c:v>
                </c:pt>
                <c:pt idx="46">
                  <c:v>1026</c:v>
                </c:pt>
                <c:pt idx="47">
                  <c:v>1024</c:v>
                </c:pt>
                <c:pt idx="48">
                  <c:v>1014</c:v>
                </c:pt>
                <c:pt idx="49">
                  <c:v>996</c:v>
                </c:pt>
                <c:pt idx="50">
                  <c:v>970</c:v>
                </c:pt>
                <c:pt idx="51">
                  <c:v>1036</c:v>
                </c:pt>
                <c:pt idx="52">
                  <c:v>1094</c:v>
                </c:pt>
                <c:pt idx="53">
                  <c:v>1144</c:v>
                </c:pt>
                <c:pt idx="54">
                  <c:v>1186</c:v>
                </c:pt>
                <c:pt idx="55">
                  <c:v>1220</c:v>
                </c:pt>
                <c:pt idx="56">
                  <c:v>1246</c:v>
                </c:pt>
                <c:pt idx="57">
                  <c:v>1264</c:v>
                </c:pt>
                <c:pt idx="58">
                  <c:v>1274</c:v>
                </c:pt>
                <c:pt idx="59">
                  <c:v>1276</c:v>
                </c:pt>
                <c:pt idx="60">
                  <c:v>1270</c:v>
                </c:pt>
                <c:pt idx="61">
                  <c:v>1256</c:v>
                </c:pt>
                <c:pt idx="62">
                  <c:v>1234</c:v>
                </c:pt>
                <c:pt idx="63">
                  <c:v>1204</c:v>
                </c:pt>
                <c:pt idx="64">
                  <c:v>1166</c:v>
                </c:pt>
                <c:pt idx="65">
                  <c:v>1120</c:v>
                </c:pt>
                <c:pt idx="66">
                  <c:v>1066</c:v>
                </c:pt>
                <c:pt idx="67">
                  <c:v>1004</c:v>
                </c:pt>
                <c:pt idx="68">
                  <c:v>934</c:v>
                </c:pt>
                <c:pt idx="69">
                  <c:v>856</c:v>
                </c:pt>
                <c:pt idx="70">
                  <c:v>770</c:v>
                </c:pt>
                <c:pt idx="71">
                  <c:v>676</c:v>
                </c:pt>
                <c:pt idx="72">
                  <c:v>574</c:v>
                </c:pt>
                <c:pt idx="73">
                  <c:v>464</c:v>
                </c:pt>
                <c:pt idx="74">
                  <c:v>346</c:v>
                </c:pt>
                <c:pt idx="75">
                  <c:v>220</c:v>
                </c:pt>
                <c:pt idx="76">
                  <c:v>86</c:v>
                </c:pt>
                <c:pt idx="77">
                  <c:v>-56</c:v>
                </c:pt>
                <c:pt idx="78">
                  <c:v>-206</c:v>
                </c:pt>
                <c:pt idx="79">
                  <c:v>-364</c:v>
                </c:pt>
                <c:pt idx="80">
                  <c:v>-530</c:v>
                </c:pt>
                <c:pt idx="81">
                  <c:v>-704</c:v>
                </c:pt>
                <c:pt idx="82">
                  <c:v>-886</c:v>
                </c:pt>
                <c:pt idx="83">
                  <c:v>-1076</c:v>
                </c:pt>
                <c:pt idx="84">
                  <c:v>-1274</c:v>
                </c:pt>
                <c:pt idx="85">
                  <c:v>-1480</c:v>
                </c:pt>
                <c:pt idx="86">
                  <c:v>-1694</c:v>
                </c:pt>
                <c:pt idx="87">
                  <c:v>-1916</c:v>
                </c:pt>
                <c:pt idx="88">
                  <c:v>-2146</c:v>
                </c:pt>
                <c:pt idx="89">
                  <c:v>-2384</c:v>
                </c:pt>
                <c:pt idx="90">
                  <c:v>-2630</c:v>
                </c:pt>
                <c:pt idx="91">
                  <c:v>-2884</c:v>
                </c:pt>
                <c:pt idx="92">
                  <c:v>-3146</c:v>
                </c:pt>
                <c:pt idx="93">
                  <c:v>-3416</c:v>
                </c:pt>
                <c:pt idx="94">
                  <c:v>-3694</c:v>
                </c:pt>
                <c:pt idx="95">
                  <c:v>-3980</c:v>
                </c:pt>
                <c:pt idx="96">
                  <c:v>-4274</c:v>
                </c:pt>
                <c:pt idx="97">
                  <c:v>-4576</c:v>
                </c:pt>
                <c:pt idx="98">
                  <c:v>-4886</c:v>
                </c:pt>
                <c:pt idx="99">
                  <c:v>-5204</c:v>
                </c:pt>
                <c:pt idx="100">
                  <c:v>-5530</c:v>
                </c:pt>
              </c:numCache>
            </c:numRef>
          </c:yVal>
          <c:smooth val="1"/>
          <c:extLst>
            <c:ext xmlns:c16="http://schemas.microsoft.com/office/drawing/2014/chart" uri="{C3380CC4-5D6E-409C-BE32-E72D297353CC}">
              <c16:uniqueId val="{00000000-6F3C-4B13-B818-D529FE72E35E}"/>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Stock Price on maturity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245568"/>
        <c:crosses val="autoZero"/>
        <c:crossBetween val="midCat"/>
      </c:valAx>
      <c:valAx>
        <c:axId val="109245568"/>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231104"/>
        <c:crosses val="autoZero"/>
        <c:crossBetween val="midCat"/>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 At Maturity</a:t>
            </a:r>
          </a:p>
        </c:rich>
      </c:tx>
      <c:overlay val="0"/>
    </c:title>
    <c:autoTitleDeleted val="0"/>
    <c:plotArea>
      <c:layout/>
      <c:scatterChart>
        <c:scatterStyle val="smoothMarker"/>
        <c:varyColors val="0"/>
        <c:ser>
          <c:idx val="2"/>
          <c:order val="0"/>
          <c:marker>
            <c:symbol val="none"/>
          </c:marker>
          <c:xVal>
            <c:numRef>
              <c:f>'Slide 159 _3_new'!$A$4:$A$104</c:f>
              <c:numCache>
                <c:formatCode>General</c:formatCode>
                <c:ptCount val="10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numCache>
            </c:numRef>
          </c:xVal>
          <c:yVal>
            <c:numRef>
              <c:f>'Slide 159 _3_new'!$F$4:$F$104</c:f>
              <c:numCache>
                <c:formatCode>General</c:formatCode>
                <c:ptCount val="101"/>
                <c:pt idx="0">
                  <c:v>7.152587038206093E-6</c:v>
                </c:pt>
                <c:pt idx="1">
                  <c:v>7.152587038206093E-6</c:v>
                </c:pt>
                <c:pt idx="2">
                  <c:v>7.152587038206093E-6</c:v>
                </c:pt>
                <c:pt idx="3">
                  <c:v>7.152587038206093E-6</c:v>
                </c:pt>
                <c:pt idx="4">
                  <c:v>7.152587038206093E-6</c:v>
                </c:pt>
                <c:pt idx="5">
                  <c:v>7.152587038206093E-6</c:v>
                </c:pt>
                <c:pt idx="6">
                  <c:v>7.152587038206093E-6</c:v>
                </c:pt>
                <c:pt idx="7">
                  <c:v>7.152587038206093E-6</c:v>
                </c:pt>
                <c:pt idx="8">
                  <c:v>7.152587038206093E-6</c:v>
                </c:pt>
                <c:pt idx="9">
                  <c:v>7.152587038206093E-6</c:v>
                </c:pt>
                <c:pt idx="10">
                  <c:v>7.152587038206093E-6</c:v>
                </c:pt>
                <c:pt idx="11">
                  <c:v>7.152587038206093E-6</c:v>
                </c:pt>
                <c:pt idx="12">
                  <c:v>7.152587038206093E-6</c:v>
                </c:pt>
                <c:pt idx="13">
                  <c:v>7.152587038206093E-6</c:v>
                </c:pt>
                <c:pt idx="14">
                  <c:v>7.152587038206093E-6</c:v>
                </c:pt>
                <c:pt idx="15">
                  <c:v>7.152587038206093E-6</c:v>
                </c:pt>
                <c:pt idx="16">
                  <c:v>7.152587038206093E-6</c:v>
                </c:pt>
                <c:pt idx="17">
                  <c:v>7.152587038206093E-6</c:v>
                </c:pt>
                <c:pt idx="18">
                  <c:v>7.152587038206093E-6</c:v>
                </c:pt>
                <c:pt idx="19">
                  <c:v>7.152587038206093E-6</c:v>
                </c:pt>
                <c:pt idx="20">
                  <c:v>7.152587038206093E-6</c:v>
                </c:pt>
                <c:pt idx="21">
                  <c:v>7.152587038206093E-6</c:v>
                </c:pt>
                <c:pt idx="22">
                  <c:v>7.152587038206093E-6</c:v>
                </c:pt>
                <c:pt idx="23">
                  <c:v>7.152587038206093E-6</c:v>
                </c:pt>
                <c:pt idx="24">
                  <c:v>7.152587038206093E-6</c:v>
                </c:pt>
                <c:pt idx="25">
                  <c:v>7.152587038206093E-6</c:v>
                </c:pt>
                <c:pt idx="26">
                  <c:v>7.152587038206093E-6</c:v>
                </c:pt>
                <c:pt idx="27">
                  <c:v>7.152587038206093E-6</c:v>
                </c:pt>
                <c:pt idx="28">
                  <c:v>7.152587038206093E-6</c:v>
                </c:pt>
                <c:pt idx="29">
                  <c:v>7.152587038206093E-6</c:v>
                </c:pt>
                <c:pt idx="30">
                  <c:v>7.152587038206093E-6</c:v>
                </c:pt>
                <c:pt idx="31">
                  <c:v>7.152587038206093E-6</c:v>
                </c:pt>
                <c:pt idx="32">
                  <c:v>7.152587038206093E-6</c:v>
                </c:pt>
                <c:pt idx="33">
                  <c:v>7.152587038206093E-6</c:v>
                </c:pt>
                <c:pt idx="34">
                  <c:v>7.152587038206093E-6</c:v>
                </c:pt>
                <c:pt idx="35">
                  <c:v>7.152587038206093E-6</c:v>
                </c:pt>
                <c:pt idx="36">
                  <c:v>7.152587038206093E-6</c:v>
                </c:pt>
                <c:pt idx="37">
                  <c:v>7.152587038206093E-6</c:v>
                </c:pt>
                <c:pt idx="38">
                  <c:v>7.152587038206093E-6</c:v>
                </c:pt>
                <c:pt idx="39">
                  <c:v>7.152587038206093E-6</c:v>
                </c:pt>
                <c:pt idx="40">
                  <c:v>7.152587038206093E-6</c:v>
                </c:pt>
                <c:pt idx="41">
                  <c:v>7.152587038206093E-6</c:v>
                </c:pt>
                <c:pt idx="42">
                  <c:v>7.152587038206093E-6</c:v>
                </c:pt>
                <c:pt idx="43">
                  <c:v>7.152587038206093E-6</c:v>
                </c:pt>
                <c:pt idx="44">
                  <c:v>7.152587038206093E-6</c:v>
                </c:pt>
                <c:pt idx="45">
                  <c:v>7.152587038206093E-6</c:v>
                </c:pt>
                <c:pt idx="46">
                  <c:v>7.152587038206093E-6</c:v>
                </c:pt>
                <c:pt idx="47">
                  <c:v>7.152587038206093E-6</c:v>
                </c:pt>
                <c:pt idx="48">
                  <c:v>7.152587038206093E-6</c:v>
                </c:pt>
                <c:pt idx="49">
                  <c:v>7.152587038206093E-6</c:v>
                </c:pt>
                <c:pt idx="50">
                  <c:v>7.152587038206093E-6</c:v>
                </c:pt>
                <c:pt idx="51">
                  <c:v>7.152587038206093E-6</c:v>
                </c:pt>
                <c:pt idx="52">
                  <c:v>7.152587038206093E-6</c:v>
                </c:pt>
                <c:pt idx="53">
                  <c:v>7.152587038206093E-6</c:v>
                </c:pt>
                <c:pt idx="54">
                  <c:v>7.152587038206093E-6</c:v>
                </c:pt>
                <c:pt idx="55">
                  <c:v>7.152587038206093E-6</c:v>
                </c:pt>
                <c:pt idx="56">
                  <c:v>7.152587038206093E-6</c:v>
                </c:pt>
                <c:pt idx="57">
                  <c:v>7.152587038206093E-6</c:v>
                </c:pt>
                <c:pt idx="58">
                  <c:v>7.152587038206093E-6</c:v>
                </c:pt>
                <c:pt idx="59">
                  <c:v>7.152587038206093E-6</c:v>
                </c:pt>
                <c:pt idx="60">
                  <c:v>7.152587038206093E-6</c:v>
                </c:pt>
                <c:pt idx="61">
                  <c:v>7.152587038206093E-6</c:v>
                </c:pt>
                <c:pt idx="62">
                  <c:v>7.152587038206093E-6</c:v>
                </c:pt>
                <c:pt idx="63">
                  <c:v>7.152587038206093E-6</c:v>
                </c:pt>
                <c:pt idx="64">
                  <c:v>7.152587038206093E-6</c:v>
                </c:pt>
                <c:pt idx="65">
                  <c:v>7.152587038206093E-6</c:v>
                </c:pt>
                <c:pt idx="66">
                  <c:v>7.152587038206093E-6</c:v>
                </c:pt>
                <c:pt idx="67">
                  <c:v>7.152587038206093E-6</c:v>
                </c:pt>
                <c:pt idx="68">
                  <c:v>7.152587038206093E-6</c:v>
                </c:pt>
                <c:pt idx="69">
                  <c:v>7.152587038206093E-6</c:v>
                </c:pt>
                <c:pt idx="70">
                  <c:v>7.152587038206093E-6</c:v>
                </c:pt>
                <c:pt idx="71">
                  <c:v>-15.558502847688636</c:v>
                </c:pt>
                <c:pt idx="72">
                  <c:v>-14.558502847688636</c:v>
                </c:pt>
                <c:pt idx="73">
                  <c:v>-13.558502847688636</c:v>
                </c:pt>
                <c:pt idx="74">
                  <c:v>-12.55850284771774</c:v>
                </c:pt>
                <c:pt idx="75">
                  <c:v>-11.558502847688636</c:v>
                </c:pt>
                <c:pt idx="76">
                  <c:v>-10.558502847688636</c:v>
                </c:pt>
                <c:pt idx="77">
                  <c:v>-9.5585028476886365</c:v>
                </c:pt>
                <c:pt idx="78">
                  <c:v>-8.5585028467573139</c:v>
                </c:pt>
                <c:pt idx="79">
                  <c:v>-7.5585028467573139</c:v>
                </c:pt>
                <c:pt idx="80">
                  <c:v>-6.558502848619959</c:v>
                </c:pt>
                <c:pt idx="81">
                  <c:v>-5.5585028467573139</c:v>
                </c:pt>
                <c:pt idx="82">
                  <c:v>-4.5585028467573139</c:v>
                </c:pt>
                <c:pt idx="83">
                  <c:v>-3.5585028467573139</c:v>
                </c:pt>
                <c:pt idx="84">
                  <c:v>-2.5585028467573139</c:v>
                </c:pt>
                <c:pt idx="85">
                  <c:v>-1.5585028467573139</c:v>
                </c:pt>
                <c:pt idx="86">
                  <c:v>-0.55850284675731388</c:v>
                </c:pt>
                <c:pt idx="87">
                  <c:v>0.44149715324268612</c:v>
                </c:pt>
                <c:pt idx="88">
                  <c:v>1.4414971532426861</c:v>
                </c:pt>
                <c:pt idx="89">
                  <c:v>2.4414971532426861</c:v>
                </c:pt>
                <c:pt idx="90">
                  <c:v>3.4414971495173958</c:v>
                </c:pt>
                <c:pt idx="91">
                  <c:v>4.4414971532426861</c:v>
                </c:pt>
                <c:pt idx="92">
                  <c:v>5.4414971532426861</c:v>
                </c:pt>
                <c:pt idx="93">
                  <c:v>6.4414971532426861</c:v>
                </c:pt>
                <c:pt idx="94">
                  <c:v>7.4414971532426861</c:v>
                </c:pt>
                <c:pt idx="95">
                  <c:v>8.4414971532426861</c:v>
                </c:pt>
                <c:pt idx="96">
                  <c:v>9.4414971532426861</c:v>
                </c:pt>
                <c:pt idx="97">
                  <c:v>10.441497153242686</c:v>
                </c:pt>
                <c:pt idx="98">
                  <c:v>11.441497153242686</c:v>
                </c:pt>
                <c:pt idx="99">
                  <c:v>12.441497153242686</c:v>
                </c:pt>
                <c:pt idx="100">
                  <c:v>13.441497153242686</c:v>
                </c:pt>
              </c:numCache>
            </c:numRef>
          </c:yVal>
          <c:smooth val="1"/>
          <c:extLst>
            <c:ext xmlns:c16="http://schemas.microsoft.com/office/drawing/2014/chart" uri="{C3380CC4-5D6E-409C-BE32-E72D297353CC}">
              <c16:uniqueId val="{00000000-B03D-42C6-828D-0F76CDE8723C}"/>
            </c:ext>
          </c:extLst>
        </c:ser>
        <c:ser>
          <c:idx val="0"/>
          <c:order val="1"/>
          <c:marker>
            <c:symbol val="none"/>
          </c:marker>
          <c:xVal>
            <c:numRef>
              <c:f>'Slide 159 _3_new'!$A$4:$A$104</c:f>
              <c:numCache>
                <c:formatCode>General</c:formatCode>
                <c:ptCount val="10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numCache>
            </c:numRef>
          </c:xVal>
          <c:yVal>
            <c:numRef>
              <c:f>'Slide 159 _3_new'!$G$4:$G$104</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-16.356204346659126</c:v>
                </c:pt>
                <c:pt idx="71">
                  <c:v>-15.356204346659126</c:v>
                </c:pt>
                <c:pt idx="72">
                  <c:v>-14.356204346659126</c:v>
                </c:pt>
                <c:pt idx="73">
                  <c:v>-13.356204346659126</c:v>
                </c:pt>
                <c:pt idx="74">
                  <c:v>-12.356204346659126</c:v>
                </c:pt>
                <c:pt idx="75">
                  <c:v>-11.356204346659126</c:v>
                </c:pt>
                <c:pt idx="76">
                  <c:v>-10.356204346659126</c:v>
                </c:pt>
                <c:pt idx="77">
                  <c:v>-9.3562043466591263</c:v>
                </c:pt>
                <c:pt idx="78">
                  <c:v>-8.3562043466591263</c:v>
                </c:pt>
                <c:pt idx="79">
                  <c:v>-7.3562043466591263</c:v>
                </c:pt>
                <c:pt idx="80">
                  <c:v>-6.3562043466591263</c:v>
                </c:pt>
                <c:pt idx="81">
                  <c:v>-5.3562043466591263</c:v>
                </c:pt>
                <c:pt idx="82">
                  <c:v>-4.3562043466591263</c:v>
                </c:pt>
                <c:pt idx="83">
                  <c:v>-3.3562043466591263</c:v>
                </c:pt>
                <c:pt idx="84">
                  <c:v>-2.3562043466591263</c:v>
                </c:pt>
                <c:pt idx="85">
                  <c:v>-1.3562043466591263</c:v>
                </c:pt>
                <c:pt idx="86">
                  <c:v>-0.35620434665912626</c:v>
                </c:pt>
                <c:pt idx="87">
                  <c:v>0.64379565334087374</c:v>
                </c:pt>
                <c:pt idx="88">
                  <c:v>1.6437956533408737</c:v>
                </c:pt>
                <c:pt idx="89">
                  <c:v>2.6437956533408737</c:v>
                </c:pt>
                <c:pt idx="90">
                  <c:v>3.6437956533408737</c:v>
                </c:pt>
                <c:pt idx="91">
                  <c:v>4.6437956533408737</c:v>
                </c:pt>
                <c:pt idx="92">
                  <c:v>5.6437956533408737</c:v>
                </c:pt>
                <c:pt idx="93">
                  <c:v>6.6437956533408737</c:v>
                </c:pt>
                <c:pt idx="94">
                  <c:v>7.6437956533408737</c:v>
                </c:pt>
                <c:pt idx="95">
                  <c:v>8.6437956533408737</c:v>
                </c:pt>
                <c:pt idx="96">
                  <c:v>9.6437956533408737</c:v>
                </c:pt>
                <c:pt idx="97">
                  <c:v>10.643795653340874</c:v>
                </c:pt>
                <c:pt idx="98">
                  <c:v>11.643795653340874</c:v>
                </c:pt>
                <c:pt idx="99">
                  <c:v>12.643795653340874</c:v>
                </c:pt>
                <c:pt idx="100">
                  <c:v>13.643795653340874</c:v>
                </c:pt>
              </c:numCache>
            </c:numRef>
          </c:yVal>
          <c:smooth val="1"/>
          <c:extLst>
            <c:ext xmlns:c16="http://schemas.microsoft.com/office/drawing/2014/chart" uri="{C3380CC4-5D6E-409C-BE32-E72D297353CC}">
              <c16:uniqueId val="{00000001-B03D-42C6-828D-0F76CDE8723C}"/>
            </c:ext>
          </c:extLst>
        </c:ser>
        <c:dLbls>
          <c:showLegendKey val="0"/>
          <c:showVal val="0"/>
          <c:showCatName val="0"/>
          <c:showSerName val="0"/>
          <c:showPercent val="0"/>
          <c:showBubbleSize val="0"/>
        </c:dLbls>
        <c:axId val="109231104"/>
        <c:axId val="109245568"/>
      </c:scatterChart>
      <c:valAx>
        <c:axId val="109231104"/>
        <c:scaling>
          <c:orientation val="minMax"/>
          <c:min val="40"/>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Replication</a:t>
            </a:r>
            <a:r>
              <a:rPr lang="en-US" baseline="0"/>
              <a:t> Slippage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spPr>
            <a:ln w="28575" cap="rnd" cmpd="sng" algn="ctr">
              <a:solidFill>
                <a:schemeClr val="accent2">
                  <a:shade val="95000"/>
                  <a:satMod val="105000"/>
                </a:schemeClr>
              </a:solidFill>
              <a:prstDash val="solid"/>
              <a:round/>
            </a:ln>
            <a:effectLst/>
          </c:spPr>
          <c:marker>
            <c:symbol val="none"/>
          </c:marker>
          <c:xVal>
            <c:numRef>
              <c:f>'Slide 159 _3_new'!$A$4:$A$104</c:f>
              <c:numCache>
                <c:formatCode>General</c:formatCode>
                <c:ptCount val="10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numCache>
            </c:numRef>
          </c:xVal>
          <c:yVal>
            <c:numRef>
              <c:f>'Slide 159 _3_new'!$H$4:$H$104</c:f>
              <c:numCache>
                <c:formatCode>General</c:formatCode>
                <c:ptCount val="101"/>
                <c:pt idx="0">
                  <c:v>7.152587038206093E-6</c:v>
                </c:pt>
                <c:pt idx="1">
                  <c:v>7.152587038206093E-6</c:v>
                </c:pt>
                <c:pt idx="2">
                  <c:v>7.152587038206093E-6</c:v>
                </c:pt>
                <c:pt idx="3">
                  <c:v>7.152587038206093E-6</c:v>
                </c:pt>
                <c:pt idx="4">
                  <c:v>7.152587038206093E-6</c:v>
                </c:pt>
                <c:pt idx="5">
                  <c:v>7.152587038206093E-6</c:v>
                </c:pt>
                <c:pt idx="6">
                  <c:v>7.152587038206093E-6</c:v>
                </c:pt>
                <c:pt idx="7">
                  <c:v>7.152587038206093E-6</c:v>
                </c:pt>
                <c:pt idx="8">
                  <c:v>7.152587038206093E-6</c:v>
                </c:pt>
                <c:pt idx="9">
                  <c:v>7.152587038206093E-6</c:v>
                </c:pt>
                <c:pt idx="10">
                  <c:v>7.152587038206093E-6</c:v>
                </c:pt>
                <c:pt idx="11">
                  <c:v>7.152587038206093E-6</c:v>
                </c:pt>
                <c:pt idx="12">
                  <c:v>7.152587038206093E-6</c:v>
                </c:pt>
                <c:pt idx="13">
                  <c:v>7.152587038206093E-6</c:v>
                </c:pt>
                <c:pt idx="14">
                  <c:v>7.152587038206093E-6</c:v>
                </c:pt>
                <c:pt idx="15">
                  <c:v>7.152587038206093E-6</c:v>
                </c:pt>
                <c:pt idx="16">
                  <c:v>7.152587038206093E-6</c:v>
                </c:pt>
                <c:pt idx="17">
                  <c:v>7.152587038206093E-6</c:v>
                </c:pt>
                <c:pt idx="18">
                  <c:v>7.152587038206093E-6</c:v>
                </c:pt>
                <c:pt idx="19">
                  <c:v>7.152587038206093E-6</c:v>
                </c:pt>
                <c:pt idx="20">
                  <c:v>7.152587038206093E-6</c:v>
                </c:pt>
                <c:pt idx="21">
                  <c:v>7.152587038206093E-6</c:v>
                </c:pt>
                <c:pt idx="22">
                  <c:v>7.152587038206093E-6</c:v>
                </c:pt>
                <c:pt idx="23">
                  <c:v>7.152587038206093E-6</c:v>
                </c:pt>
                <c:pt idx="24">
                  <c:v>7.152587038206093E-6</c:v>
                </c:pt>
                <c:pt idx="25">
                  <c:v>7.152587038206093E-6</c:v>
                </c:pt>
                <c:pt idx="26">
                  <c:v>7.152587038206093E-6</c:v>
                </c:pt>
                <c:pt idx="27">
                  <c:v>7.152587038206093E-6</c:v>
                </c:pt>
                <c:pt idx="28">
                  <c:v>7.152587038206093E-6</c:v>
                </c:pt>
                <c:pt idx="29">
                  <c:v>7.152587038206093E-6</c:v>
                </c:pt>
                <c:pt idx="30">
                  <c:v>7.152587038206093E-6</c:v>
                </c:pt>
                <c:pt idx="31">
                  <c:v>7.152587038206093E-6</c:v>
                </c:pt>
                <c:pt idx="32">
                  <c:v>7.152587038206093E-6</c:v>
                </c:pt>
                <c:pt idx="33">
                  <c:v>7.152587038206093E-6</c:v>
                </c:pt>
                <c:pt idx="34">
                  <c:v>7.152587038206093E-6</c:v>
                </c:pt>
                <c:pt idx="35">
                  <c:v>7.152587038206093E-6</c:v>
                </c:pt>
                <c:pt idx="36">
                  <c:v>7.152587038206093E-6</c:v>
                </c:pt>
                <c:pt idx="37">
                  <c:v>7.152587038206093E-6</c:v>
                </c:pt>
                <c:pt idx="38">
                  <c:v>7.152587038206093E-6</c:v>
                </c:pt>
                <c:pt idx="39">
                  <c:v>7.152587038206093E-6</c:v>
                </c:pt>
                <c:pt idx="40">
                  <c:v>7.152587038206093E-6</c:v>
                </c:pt>
                <c:pt idx="41">
                  <c:v>7.152587038206093E-6</c:v>
                </c:pt>
                <c:pt idx="42">
                  <c:v>7.152587038206093E-6</c:v>
                </c:pt>
                <c:pt idx="43">
                  <c:v>7.152587038206093E-6</c:v>
                </c:pt>
                <c:pt idx="44">
                  <c:v>7.152587038206093E-6</c:v>
                </c:pt>
                <c:pt idx="45">
                  <c:v>7.152587038206093E-6</c:v>
                </c:pt>
                <c:pt idx="46">
                  <c:v>7.152587038206093E-6</c:v>
                </c:pt>
                <c:pt idx="47">
                  <c:v>7.152587038206093E-6</c:v>
                </c:pt>
                <c:pt idx="48">
                  <c:v>7.152587038206093E-6</c:v>
                </c:pt>
                <c:pt idx="49">
                  <c:v>7.152587038206093E-6</c:v>
                </c:pt>
                <c:pt idx="50">
                  <c:v>7.152587038206093E-6</c:v>
                </c:pt>
                <c:pt idx="51">
                  <c:v>7.152587038206093E-6</c:v>
                </c:pt>
                <c:pt idx="52">
                  <c:v>7.152587038206093E-6</c:v>
                </c:pt>
                <c:pt idx="53">
                  <c:v>7.152587038206093E-6</c:v>
                </c:pt>
                <c:pt idx="54">
                  <c:v>7.152587038206093E-6</c:v>
                </c:pt>
                <c:pt idx="55">
                  <c:v>7.152587038206093E-6</c:v>
                </c:pt>
                <c:pt idx="56">
                  <c:v>7.152587038206093E-6</c:v>
                </c:pt>
                <c:pt idx="57">
                  <c:v>7.152587038206093E-6</c:v>
                </c:pt>
                <c:pt idx="58">
                  <c:v>7.152587038206093E-6</c:v>
                </c:pt>
                <c:pt idx="59">
                  <c:v>7.152587038206093E-6</c:v>
                </c:pt>
                <c:pt idx="60">
                  <c:v>7.152587038206093E-6</c:v>
                </c:pt>
                <c:pt idx="61">
                  <c:v>7.152587038206093E-6</c:v>
                </c:pt>
                <c:pt idx="62">
                  <c:v>7.152587038206093E-6</c:v>
                </c:pt>
                <c:pt idx="63">
                  <c:v>7.152587038206093E-6</c:v>
                </c:pt>
                <c:pt idx="64">
                  <c:v>7.152587038206093E-6</c:v>
                </c:pt>
                <c:pt idx="65">
                  <c:v>7.152587038206093E-6</c:v>
                </c:pt>
                <c:pt idx="66">
                  <c:v>7.152587038206093E-6</c:v>
                </c:pt>
                <c:pt idx="67">
                  <c:v>7.152587038206093E-6</c:v>
                </c:pt>
                <c:pt idx="68">
                  <c:v>7.152587038206093E-6</c:v>
                </c:pt>
                <c:pt idx="69">
                  <c:v>7.152587038206093E-6</c:v>
                </c:pt>
                <c:pt idx="70">
                  <c:v>16.356211499246164</c:v>
                </c:pt>
                <c:pt idx="71">
                  <c:v>-0.20229850102951019</c:v>
                </c:pt>
                <c:pt idx="72">
                  <c:v>-0.20229850102951019</c:v>
                </c:pt>
                <c:pt idx="73">
                  <c:v>-0.20229850102951019</c:v>
                </c:pt>
                <c:pt idx="74">
                  <c:v>-0.20229850105861402</c:v>
                </c:pt>
                <c:pt idx="75">
                  <c:v>-0.20229850102951019</c:v>
                </c:pt>
                <c:pt idx="76">
                  <c:v>-0.20229850102951019</c:v>
                </c:pt>
                <c:pt idx="77">
                  <c:v>-0.20229850102951019</c:v>
                </c:pt>
                <c:pt idx="78">
                  <c:v>-0.20229850009818762</c:v>
                </c:pt>
                <c:pt idx="79">
                  <c:v>-0.20229850009818762</c:v>
                </c:pt>
                <c:pt idx="80">
                  <c:v>-0.20229850196083277</c:v>
                </c:pt>
                <c:pt idx="81">
                  <c:v>-0.20229850009818762</c:v>
                </c:pt>
                <c:pt idx="82">
                  <c:v>-0.20229850009818762</c:v>
                </c:pt>
                <c:pt idx="83">
                  <c:v>-0.20229850009818762</c:v>
                </c:pt>
                <c:pt idx="84">
                  <c:v>-0.20229850009818762</c:v>
                </c:pt>
                <c:pt idx="85">
                  <c:v>-0.20229850009818762</c:v>
                </c:pt>
                <c:pt idx="86">
                  <c:v>-0.20229850009818762</c:v>
                </c:pt>
                <c:pt idx="87">
                  <c:v>-0.20229850009818762</c:v>
                </c:pt>
                <c:pt idx="88">
                  <c:v>-0.20229850009818762</c:v>
                </c:pt>
                <c:pt idx="89">
                  <c:v>-0.20229850009818762</c:v>
                </c:pt>
                <c:pt idx="90">
                  <c:v>-0.20229850382347792</c:v>
                </c:pt>
                <c:pt idx="91">
                  <c:v>-0.20229850009818762</c:v>
                </c:pt>
                <c:pt idx="92">
                  <c:v>-0.20229850009818762</c:v>
                </c:pt>
                <c:pt idx="93">
                  <c:v>-0.20229850009818762</c:v>
                </c:pt>
                <c:pt idx="94">
                  <c:v>-0.20229850009818762</c:v>
                </c:pt>
                <c:pt idx="95">
                  <c:v>-0.20229850009818762</c:v>
                </c:pt>
                <c:pt idx="96">
                  <c:v>-0.20229850009818762</c:v>
                </c:pt>
                <c:pt idx="97">
                  <c:v>-0.20229850009818762</c:v>
                </c:pt>
                <c:pt idx="98">
                  <c:v>-0.20229850009818762</c:v>
                </c:pt>
                <c:pt idx="99">
                  <c:v>-0.20229850009818762</c:v>
                </c:pt>
                <c:pt idx="100">
                  <c:v>-0.20229850009818762</c:v>
                </c:pt>
              </c:numCache>
            </c:numRef>
          </c:yVal>
          <c:smooth val="1"/>
          <c:extLst>
            <c:ext xmlns:c16="http://schemas.microsoft.com/office/drawing/2014/chart" uri="{C3380CC4-5D6E-409C-BE32-E72D297353CC}">
              <c16:uniqueId val="{00000000-6557-465A-9836-799B41C2B450}"/>
            </c:ext>
          </c:extLst>
        </c:ser>
        <c:dLbls>
          <c:showLegendKey val="0"/>
          <c:showVal val="0"/>
          <c:showCatName val="0"/>
          <c:showSerName val="0"/>
          <c:showPercent val="0"/>
          <c:showBubbleSize val="0"/>
        </c:dLbls>
        <c:axId val="109231104"/>
        <c:axId val="109245568"/>
      </c:scatterChart>
      <c:valAx>
        <c:axId val="109231104"/>
        <c:scaling>
          <c:orientation val="minMax"/>
          <c:min val="4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Stock Price on maturity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245568"/>
        <c:crosses val="autoZero"/>
        <c:crossBetween val="midCat"/>
      </c:valAx>
      <c:valAx>
        <c:axId val="109245568"/>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9231104"/>
        <c:crosses val="autoZero"/>
        <c:crossBetween val="midCat"/>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scatterChart>
        <c:scatterStyle val="smoothMarker"/>
        <c:varyColors val="0"/>
        <c:ser>
          <c:idx val="2"/>
          <c:order val="0"/>
          <c:marker>
            <c:symbol val="none"/>
          </c:marker>
          <c:xVal>
            <c:numRef>
              <c:f>'Slide 126 (Straddle)_new (2 (3)'!$A$4:$A$104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'Slide 126 (Straddle)_new (2 (3)'!$F$4:$F$104</c:f>
              <c:numCache>
                <c:formatCode>General</c:formatCode>
                <c:ptCount val="101"/>
                <c:pt idx="0">
                  <c:v>90</c:v>
                </c:pt>
                <c:pt idx="1">
                  <c:v>88</c:v>
                </c:pt>
                <c:pt idx="2">
                  <c:v>86</c:v>
                </c:pt>
                <c:pt idx="3">
                  <c:v>84</c:v>
                </c:pt>
                <c:pt idx="4">
                  <c:v>82</c:v>
                </c:pt>
                <c:pt idx="5">
                  <c:v>80</c:v>
                </c:pt>
                <c:pt idx="6">
                  <c:v>78</c:v>
                </c:pt>
                <c:pt idx="7">
                  <c:v>76</c:v>
                </c:pt>
                <c:pt idx="8">
                  <c:v>74</c:v>
                </c:pt>
                <c:pt idx="9">
                  <c:v>72</c:v>
                </c:pt>
                <c:pt idx="10">
                  <c:v>70</c:v>
                </c:pt>
                <c:pt idx="11">
                  <c:v>68</c:v>
                </c:pt>
                <c:pt idx="12">
                  <c:v>66</c:v>
                </c:pt>
                <c:pt idx="13">
                  <c:v>64</c:v>
                </c:pt>
                <c:pt idx="14">
                  <c:v>62</c:v>
                </c:pt>
                <c:pt idx="15">
                  <c:v>60</c:v>
                </c:pt>
                <c:pt idx="16">
                  <c:v>58</c:v>
                </c:pt>
                <c:pt idx="17">
                  <c:v>56</c:v>
                </c:pt>
                <c:pt idx="18">
                  <c:v>54</c:v>
                </c:pt>
                <c:pt idx="19">
                  <c:v>52</c:v>
                </c:pt>
                <c:pt idx="20">
                  <c:v>50</c:v>
                </c:pt>
                <c:pt idx="21">
                  <c:v>48</c:v>
                </c:pt>
                <c:pt idx="22">
                  <c:v>46</c:v>
                </c:pt>
                <c:pt idx="23">
                  <c:v>44</c:v>
                </c:pt>
                <c:pt idx="24">
                  <c:v>42</c:v>
                </c:pt>
                <c:pt idx="25">
                  <c:v>40</c:v>
                </c:pt>
                <c:pt idx="26">
                  <c:v>38</c:v>
                </c:pt>
                <c:pt idx="27">
                  <c:v>36</c:v>
                </c:pt>
                <c:pt idx="28">
                  <c:v>34</c:v>
                </c:pt>
                <c:pt idx="29">
                  <c:v>32</c:v>
                </c:pt>
                <c:pt idx="30">
                  <c:v>30</c:v>
                </c:pt>
                <c:pt idx="31">
                  <c:v>28</c:v>
                </c:pt>
                <c:pt idx="32">
                  <c:v>26</c:v>
                </c:pt>
                <c:pt idx="33">
                  <c:v>24</c:v>
                </c:pt>
                <c:pt idx="34">
                  <c:v>22</c:v>
                </c:pt>
                <c:pt idx="35">
                  <c:v>20</c:v>
                </c:pt>
                <c:pt idx="36">
                  <c:v>18</c:v>
                </c:pt>
                <c:pt idx="37">
                  <c:v>16</c:v>
                </c:pt>
                <c:pt idx="38">
                  <c:v>14</c:v>
                </c:pt>
                <c:pt idx="39">
                  <c:v>12</c:v>
                </c:pt>
                <c:pt idx="40">
                  <c:v>10</c:v>
                </c:pt>
                <c:pt idx="41">
                  <c:v>8</c:v>
                </c:pt>
                <c:pt idx="42">
                  <c:v>6</c:v>
                </c:pt>
                <c:pt idx="43">
                  <c:v>4</c:v>
                </c:pt>
                <c:pt idx="44">
                  <c:v>2</c:v>
                </c:pt>
                <c:pt idx="45">
                  <c:v>0</c:v>
                </c:pt>
                <c:pt idx="46">
                  <c:v>0</c:v>
                </c:pt>
                <c:pt idx="47">
                  <c:v>0</c:v>
                </c:pt>
                <c:pt idx="48">
                  <c:v>0</c:v>
                </c:pt>
                <c:pt idx="49">
                  <c:v>0</c:v>
                </c:pt>
                <c:pt idx="50">
                  <c:v>0</c:v>
                </c:pt>
                <c:pt idx="51">
                  <c:v>0</c:v>
                </c:pt>
                <c:pt idx="52">
                  <c:v>0</c:v>
                </c:pt>
                <c:pt idx="53">
                  <c:v>0</c:v>
                </c:pt>
                <c:pt idx="54">
                  <c:v>0</c:v>
                </c:pt>
                <c:pt idx="55">
                  <c:v>0</c:v>
                </c:pt>
                <c:pt idx="56">
                  <c:v>2</c:v>
                </c:pt>
                <c:pt idx="57">
                  <c:v>4</c:v>
                </c:pt>
                <c:pt idx="58">
                  <c:v>6</c:v>
                </c:pt>
                <c:pt idx="59">
                  <c:v>8</c:v>
                </c:pt>
                <c:pt idx="60">
                  <c:v>10</c:v>
                </c:pt>
                <c:pt idx="61">
                  <c:v>12</c:v>
                </c:pt>
                <c:pt idx="62">
                  <c:v>14</c:v>
                </c:pt>
                <c:pt idx="63">
                  <c:v>16</c:v>
                </c:pt>
                <c:pt idx="64">
                  <c:v>18</c:v>
                </c:pt>
                <c:pt idx="65">
                  <c:v>20</c:v>
                </c:pt>
                <c:pt idx="66">
                  <c:v>22</c:v>
                </c:pt>
                <c:pt idx="67">
                  <c:v>24</c:v>
                </c:pt>
                <c:pt idx="68">
                  <c:v>26</c:v>
                </c:pt>
                <c:pt idx="69">
                  <c:v>28</c:v>
                </c:pt>
                <c:pt idx="70">
                  <c:v>30</c:v>
                </c:pt>
                <c:pt idx="71">
                  <c:v>32</c:v>
                </c:pt>
                <c:pt idx="72">
                  <c:v>34</c:v>
                </c:pt>
                <c:pt idx="73">
                  <c:v>36</c:v>
                </c:pt>
                <c:pt idx="74">
                  <c:v>38</c:v>
                </c:pt>
                <c:pt idx="75">
                  <c:v>40</c:v>
                </c:pt>
                <c:pt idx="76">
                  <c:v>42</c:v>
                </c:pt>
                <c:pt idx="77">
                  <c:v>44</c:v>
                </c:pt>
                <c:pt idx="78">
                  <c:v>46</c:v>
                </c:pt>
                <c:pt idx="79">
                  <c:v>48</c:v>
                </c:pt>
                <c:pt idx="80">
                  <c:v>50</c:v>
                </c:pt>
                <c:pt idx="81">
                  <c:v>52</c:v>
                </c:pt>
                <c:pt idx="82">
                  <c:v>54</c:v>
                </c:pt>
                <c:pt idx="83">
                  <c:v>56</c:v>
                </c:pt>
                <c:pt idx="84">
                  <c:v>58</c:v>
                </c:pt>
                <c:pt idx="85">
                  <c:v>60</c:v>
                </c:pt>
                <c:pt idx="86">
                  <c:v>62</c:v>
                </c:pt>
                <c:pt idx="87">
                  <c:v>64</c:v>
                </c:pt>
                <c:pt idx="88">
                  <c:v>66</c:v>
                </c:pt>
                <c:pt idx="89">
                  <c:v>68</c:v>
                </c:pt>
                <c:pt idx="90">
                  <c:v>70</c:v>
                </c:pt>
                <c:pt idx="91">
                  <c:v>72</c:v>
                </c:pt>
                <c:pt idx="92">
                  <c:v>74</c:v>
                </c:pt>
                <c:pt idx="93">
                  <c:v>76</c:v>
                </c:pt>
                <c:pt idx="94">
                  <c:v>78</c:v>
                </c:pt>
                <c:pt idx="95">
                  <c:v>80</c:v>
                </c:pt>
                <c:pt idx="96">
                  <c:v>82</c:v>
                </c:pt>
                <c:pt idx="97">
                  <c:v>84</c:v>
                </c:pt>
                <c:pt idx="98">
                  <c:v>86</c:v>
                </c:pt>
                <c:pt idx="99">
                  <c:v>88</c:v>
                </c:pt>
                <c:pt idx="100">
                  <c:v>90</c:v>
                </c:pt>
              </c:numCache>
            </c:numRef>
          </c:yVal>
          <c:smooth val="1"/>
          <c:extLst>
            <c:ext xmlns:c16="http://schemas.microsoft.com/office/drawing/2014/chart" uri="{C3380CC4-5D6E-409C-BE32-E72D297353CC}">
              <c16:uniqueId val="{00000000-F42D-477E-B059-1BDAC8FAF016}"/>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Payoff/Profit At Maturity</a:t>
            </a:r>
          </a:p>
        </c:rich>
      </c:tx>
      <c:overlay val="0"/>
    </c:title>
    <c:autoTitleDeleted val="0"/>
    <c:plotArea>
      <c:layout>
        <c:manualLayout>
          <c:layoutTarget val="inner"/>
          <c:xMode val="edge"/>
          <c:yMode val="edge"/>
          <c:x val="8.955155211181165E-2"/>
          <c:y val="0.15042971886971176"/>
          <c:w val="0.87398293253528991"/>
          <c:h val="0.67651201785485149"/>
        </c:manualLayout>
      </c:layout>
      <c:scatterChart>
        <c:scatterStyle val="smoothMarker"/>
        <c:varyColors val="0"/>
        <c:ser>
          <c:idx val="2"/>
          <c:order val="0"/>
          <c:marker>
            <c:symbol val="none"/>
          </c:marker>
          <c:xVal>
            <c:numRef>
              <c:f>'Question 2ac'!$A$4:$A$104</c:f>
              <c:numCache>
                <c:formatCode>General</c:formatCode>
                <c:ptCount val="101"/>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32</c:v>
                </c:pt>
                <c:pt idx="17">
                  <c:v>34</c:v>
                </c:pt>
                <c:pt idx="18">
                  <c:v>36</c:v>
                </c:pt>
                <c:pt idx="19">
                  <c:v>38</c:v>
                </c:pt>
                <c:pt idx="20">
                  <c:v>40</c:v>
                </c:pt>
                <c:pt idx="21">
                  <c:v>42</c:v>
                </c:pt>
                <c:pt idx="22">
                  <c:v>44</c:v>
                </c:pt>
                <c:pt idx="23">
                  <c:v>46</c:v>
                </c:pt>
                <c:pt idx="24">
                  <c:v>48</c:v>
                </c:pt>
                <c:pt idx="25">
                  <c:v>50</c:v>
                </c:pt>
                <c:pt idx="26">
                  <c:v>52</c:v>
                </c:pt>
                <c:pt idx="27">
                  <c:v>54</c:v>
                </c:pt>
                <c:pt idx="28">
                  <c:v>56</c:v>
                </c:pt>
                <c:pt idx="29">
                  <c:v>58</c:v>
                </c:pt>
                <c:pt idx="30">
                  <c:v>60</c:v>
                </c:pt>
                <c:pt idx="31">
                  <c:v>62</c:v>
                </c:pt>
                <c:pt idx="32">
                  <c:v>64</c:v>
                </c:pt>
                <c:pt idx="33">
                  <c:v>66</c:v>
                </c:pt>
                <c:pt idx="34">
                  <c:v>68</c:v>
                </c:pt>
                <c:pt idx="35">
                  <c:v>70</c:v>
                </c:pt>
                <c:pt idx="36">
                  <c:v>72</c:v>
                </c:pt>
                <c:pt idx="37">
                  <c:v>74</c:v>
                </c:pt>
                <c:pt idx="38">
                  <c:v>76</c:v>
                </c:pt>
                <c:pt idx="39">
                  <c:v>78</c:v>
                </c:pt>
                <c:pt idx="40">
                  <c:v>80</c:v>
                </c:pt>
                <c:pt idx="41">
                  <c:v>82</c:v>
                </c:pt>
                <c:pt idx="42">
                  <c:v>84</c:v>
                </c:pt>
                <c:pt idx="43">
                  <c:v>86</c:v>
                </c:pt>
                <c:pt idx="44">
                  <c:v>88</c:v>
                </c:pt>
                <c:pt idx="45">
                  <c:v>90</c:v>
                </c:pt>
                <c:pt idx="46">
                  <c:v>92</c:v>
                </c:pt>
                <c:pt idx="47">
                  <c:v>94</c:v>
                </c:pt>
                <c:pt idx="48">
                  <c:v>96</c:v>
                </c:pt>
                <c:pt idx="49">
                  <c:v>98</c:v>
                </c:pt>
                <c:pt idx="50">
                  <c:v>100</c:v>
                </c:pt>
                <c:pt idx="51">
                  <c:v>102</c:v>
                </c:pt>
                <c:pt idx="52">
                  <c:v>104</c:v>
                </c:pt>
                <c:pt idx="53">
                  <c:v>106</c:v>
                </c:pt>
                <c:pt idx="54">
                  <c:v>108</c:v>
                </c:pt>
                <c:pt idx="55">
                  <c:v>110</c:v>
                </c:pt>
                <c:pt idx="56">
                  <c:v>112</c:v>
                </c:pt>
                <c:pt idx="57">
                  <c:v>114</c:v>
                </c:pt>
                <c:pt idx="58">
                  <c:v>116</c:v>
                </c:pt>
                <c:pt idx="59">
                  <c:v>118</c:v>
                </c:pt>
                <c:pt idx="60">
                  <c:v>120</c:v>
                </c:pt>
                <c:pt idx="61">
                  <c:v>122</c:v>
                </c:pt>
                <c:pt idx="62">
                  <c:v>124</c:v>
                </c:pt>
                <c:pt idx="63">
                  <c:v>126</c:v>
                </c:pt>
                <c:pt idx="64">
                  <c:v>128</c:v>
                </c:pt>
                <c:pt idx="65">
                  <c:v>130</c:v>
                </c:pt>
                <c:pt idx="66">
                  <c:v>132</c:v>
                </c:pt>
                <c:pt idx="67">
                  <c:v>134</c:v>
                </c:pt>
                <c:pt idx="68">
                  <c:v>136</c:v>
                </c:pt>
                <c:pt idx="69">
                  <c:v>138</c:v>
                </c:pt>
                <c:pt idx="70">
                  <c:v>140</c:v>
                </c:pt>
                <c:pt idx="71">
                  <c:v>142</c:v>
                </c:pt>
                <c:pt idx="72">
                  <c:v>144</c:v>
                </c:pt>
                <c:pt idx="73">
                  <c:v>146</c:v>
                </c:pt>
                <c:pt idx="74">
                  <c:v>148</c:v>
                </c:pt>
                <c:pt idx="75">
                  <c:v>150</c:v>
                </c:pt>
                <c:pt idx="76">
                  <c:v>152</c:v>
                </c:pt>
                <c:pt idx="77">
                  <c:v>154</c:v>
                </c:pt>
                <c:pt idx="78">
                  <c:v>156</c:v>
                </c:pt>
                <c:pt idx="79">
                  <c:v>158</c:v>
                </c:pt>
                <c:pt idx="80">
                  <c:v>160</c:v>
                </c:pt>
                <c:pt idx="81">
                  <c:v>162</c:v>
                </c:pt>
                <c:pt idx="82">
                  <c:v>164</c:v>
                </c:pt>
                <c:pt idx="83">
                  <c:v>166</c:v>
                </c:pt>
                <c:pt idx="84">
                  <c:v>168</c:v>
                </c:pt>
                <c:pt idx="85">
                  <c:v>170</c:v>
                </c:pt>
                <c:pt idx="86">
                  <c:v>172</c:v>
                </c:pt>
                <c:pt idx="87">
                  <c:v>174</c:v>
                </c:pt>
                <c:pt idx="88">
                  <c:v>176</c:v>
                </c:pt>
                <c:pt idx="89">
                  <c:v>178</c:v>
                </c:pt>
                <c:pt idx="90">
                  <c:v>180</c:v>
                </c:pt>
                <c:pt idx="91">
                  <c:v>182</c:v>
                </c:pt>
                <c:pt idx="92">
                  <c:v>184</c:v>
                </c:pt>
                <c:pt idx="93">
                  <c:v>186</c:v>
                </c:pt>
                <c:pt idx="94">
                  <c:v>188</c:v>
                </c:pt>
                <c:pt idx="95">
                  <c:v>190</c:v>
                </c:pt>
                <c:pt idx="96">
                  <c:v>192</c:v>
                </c:pt>
                <c:pt idx="97">
                  <c:v>194</c:v>
                </c:pt>
                <c:pt idx="98">
                  <c:v>196</c:v>
                </c:pt>
                <c:pt idx="99">
                  <c:v>198</c:v>
                </c:pt>
                <c:pt idx="100">
                  <c:v>200</c:v>
                </c:pt>
              </c:numCache>
            </c:numRef>
          </c:xVal>
          <c:yVal>
            <c:numRef>
              <c:f>'Question 2ac'!$H$4:$H$104</c:f>
              <c:numCache>
                <c:formatCode>General</c:formatCode>
                <c:ptCount val="101"/>
                <c:pt idx="0">
                  <c:v>60</c:v>
                </c:pt>
                <c:pt idx="1">
                  <c:v>59</c:v>
                </c:pt>
                <c:pt idx="2">
                  <c:v>58</c:v>
                </c:pt>
                <c:pt idx="3">
                  <c:v>57</c:v>
                </c:pt>
                <c:pt idx="4">
                  <c:v>56</c:v>
                </c:pt>
                <c:pt idx="5">
                  <c:v>55</c:v>
                </c:pt>
                <c:pt idx="6">
                  <c:v>54</c:v>
                </c:pt>
                <c:pt idx="7">
                  <c:v>53</c:v>
                </c:pt>
                <c:pt idx="8">
                  <c:v>52</c:v>
                </c:pt>
                <c:pt idx="9">
                  <c:v>51</c:v>
                </c:pt>
                <c:pt idx="10">
                  <c:v>50</c:v>
                </c:pt>
                <c:pt idx="11">
                  <c:v>49</c:v>
                </c:pt>
                <c:pt idx="12">
                  <c:v>48</c:v>
                </c:pt>
                <c:pt idx="13">
                  <c:v>47</c:v>
                </c:pt>
                <c:pt idx="14">
                  <c:v>46</c:v>
                </c:pt>
                <c:pt idx="15">
                  <c:v>45</c:v>
                </c:pt>
                <c:pt idx="16">
                  <c:v>44</c:v>
                </c:pt>
                <c:pt idx="17">
                  <c:v>43</c:v>
                </c:pt>
                <c:pt idx="18">
                  <c:v>42</c:v>
                </c:pt>
                <c:pt idx="19">
                  <c:v>41</c:v>
                </c:pt>
                <c:pt idx="20">
                  <c:v>40</c:v>
                </c:pt>
                <c:pt idx="21">
                  <c:v>39</c:v>
                </c:pt>
                <c:pt idx="22">
                  <c:v>38</c:v>
                </c:pt>
                <c:pt idx="23">
                  <c:v>37</c:v>
                </c:pt>
                <c:pt idx="24">
                  <c:v>36</c:v>
                </c:pt>
                <c:pt idx="25">
                  <c:v>35</c:v>
                </c:pt>
                <c:pt idx="26">
                  <c:v>34</c:v>
                </c:pt>
                <c:pt idx="27">
                  <c:v>33</c:v>
                </c:pt>
                <c:pt idx="28">
                  <c:v>32</c:v>
                </c:pt>
                <c:pt idx="29">
                  <c:v>31</c:v>
                </c:pt>
                <c:pt idx="30">
                  <c:v>30</c:v>
                </c:pt>
                <c:pt idx="31">
                  <c:v>29</c:v>
                </c:pt>
                <c:pt idx="32">
                  <c:v>28</c:v>
                </c:pt>
                <c:pt idx="33">
                  <c:v>27</c:v>
                </c:pt>
                <c:pt idx="34">
                  <c:v>26</c:v>
                </c:pt>
                <c:pt idx="35">
                  <c:v>25</c:v>
                </c:pt>
                <c:pt idx="36">
                  <c:v>24</c:v>
                </c:pt>
                <c:pt idx="37">
                  <c:v>23</c:v>
                </c:pt>
                <c:pt idx="38">
                  <c:v>22</c:v>
                </c:pt>
                <c:pt idx="39">
                  <c:v>21</c:v>
                </c:pt>
                <c:pt idx="40">
                  <c:v>20</c:v>
                </c:pt>
                <c:pt idx="41">
                  <c:v>19</c:v>
                </c:pt>
                <c:pt idx="42">
                  <c:v>18</c:v>
                </c:pt>
                <c:pt idx="43">
                  <c:v>17</c:v>
                </c:pt>
                <c:pt idx="44">
                  <c:v>16</c:v>
                </c:pt>
                <c:pt idx="45">
                  <c:v>15</c:v>
                </c:pt>
                <c:pt idx="46">
                  <c:v>14</c:v>
                </c:pt>
                <c:pt idx="47">
                  <c:v>13</c:v>
                </c:pt>
                <c:pt idx="48">
                  <c:v>12</c:v>
                </c:pt>
                <c:pt idx="49">
                  <c:v>11</c:v>
                </c:pt>
                <c:pt idx="50">
                  <c:v>10</c:v>
                </c:pt>
                <c:pt idx="51">
                  <c:v>11</c:v>
                </c:pt>
                <c:pt idx="52">
                  <c:v>12</c:v>
                </c:pt>
                <c:pt idx="53">
                  <c:v>13</c:v>
                </c:pt>
                <c:pt idx="54">
                  <c:v>14</c:v>
                </c:pt>
                <c:pt idx="55">
                  <c:v>15</c:v>
                </c:pt>
                <c:pt idx="56">
                  <c:v>16</c:v>
                </c:pt>
                <c:pt idx="57">
                  <c:v>17</c:v>
                </c:pt>
                <c:pt idx="58">
                  <c:v>18</c:v>
                </c:pt>
                <c:pt idx="59">
                  <c:v>19</c:v>
                </c:pt>
                <c:pt idx="60">
                  <c:v>20</c:v>
                </c:pt>
                <c:pt idx="61">
                  <c:v>21</c:v>
                </c:pt>
                <c:pt idx="62">
                  <c:v>22</c:v>
                </c:pt>
                <c:pt idx="63">
                  <c:v>23</c:v>
                </c:pt>
                <c:pt idx="64">
                  <c:v>24</c:v>
                </c:pt>
                <c:pt idx="65">
                  <c:v>25</c:v>
                </c:pt>
                <c:pt idx="66">
                  <c:v>26</c:v>
                </c:pt>
                <c:pt idx="67">
                  <c:v>27</c:v>
                </c:pt>
                <c:pt idx="68">
                  <c:v>28</c:v>
                </c:pt>
                <c:pt idx="69">
                  <c:v>29</c:v>
                </c:pt>
                <c:pt idx="70">
                  <c:v>30</c:v>
                </c:pt>
                <c:pt idx="71">
                  <c:v>31</c:v>
                </c:pt>
                <c:pt idx="72">
                  <c:v>32</c:v>
                </c:pt>
                <c:pt idx="73">
                  <c:v>33</c:v>
                </c:pt>
                <c:pt idx="74">
                  <c:v>34</c:v>
                </c:pt>
                <c:pt idx="75">
                  <c:v>35</c:v>
                </c:pt>
                <c:pt idx="76">
                  <c:v>36</c:v>
                </c:pt>
                <c:pt idx="77">
                  <c:v>37</c:v>
                </c:pt>
                <c:pt idx="78">
                  <c:v>38</c:v>
                </c:pt>
                <c:pt idx="79">
                  <c:v>39</c:v>
                </c:pt>
                <c:pt idx="80">
                  <c:v>40</c:v>
                </c:pt>
                <c:pt idx="81">
                  <c:v>41</c:v>
                </c:pt>
                <c:pt idx="82">
                  <c:v>42</c:v>
                </c:pt>
                <c:pt idx="83">
                  <c:v>43</c:v>
                </c:pt>
                <c:pt idx="84">
                  <c:v>44</c:v>
                </c:pt>
                <c:pt idx="85">
                  <c:v>45</c:v>
                </c:pt>
                <c:pt idx="86">
                  <c:v>46</c:v>
                </c:pt>
                <c:pt idx="87">
                  <c:v>47</c:v>
                </c:pt>
                <c:pt idx="88">
                  <c:v>48</c:v>
                </c:pt>
                <c:pt idx="89">
                  <c:v>49</c:v>
                </c:pt>
                <c:pt idx="90">
                  <c:v>50</c:v>
                </c:pt>
                <c:pt idx="91">
                  <c:v>51</c:v>
                </c:pt>
                <c:pt idx="92">
                  <c:v>52</c:v>
                </c:pt>
                <c:pt idx="93">
                  <c:v>53</c:v>
                </c:pt>
                <c:pt idx="94">
                  <c:v>54</c:v>
                </c:pt>
                <c:pt idx="95">
                  <c:v>55</c:v>
                </c:pt>
                <c:pt idx="96">
                  <c:v>56</c:v>
                </c:pt>
                <c:pt idx="97">
                  <c:v>57</c:v>
                </c:pt>
                <c:pt idx="98">
                  <c:v>58</c:v>
                </c:pt>
                <c:pt idx="99">
                  <c:v>59</c:v>
                </c:pt>
                <c:pt idx="100">
                  <c:v>60</c:v>
                </c:pt>
              </c:numCache>
            </c:numRef>
          </c:yVal>
          <c:smooth val="1"/>
          <c:extLst>
            <c:ext xmlns:c16="http://schemas.microsoft.com/office/drawing/2014/chart" uri="{C3380CC4-5D6E-409C-BE32-E72D297353CC}">
              <c16:uniqueId val="{00000000-53A2-4186-85E4-16C611001703}"/>
            </c:ext>
          </c:extLst>
        </c:ser>
        <c:dLbls>
          <c:showLegendKey val="0"/>
          <c:showVal val="0"/>
          <c:showCatName val="0"/>
          <c:showSerName val="0"/>
          <c:showPercent val="0"/>
          <c:showBubbleSize val="0"/>
        </c:dLbls>
        <c:axId val="109231104"/>
        <c:axId val="109245568"/>
      </c:scatterChart>
      <c:valAx>
        <c:axId val="109231104"/>
        <c:scaling>
          <c:orientation val="minMax"/>
        </c:scaling>
        <c:delete val="0"/>
        <c:axPos val="b"/>
        <c:title>
          <c:tx>
            <c:rich>
              <a:bodyPr/>
              <a:lstStyle/>
              <a:p>
                <a:pPr>
                  <a:defRPr/>
                </a:pPr>
                <a:r>
                  <a:rPr lang="en-US"/>
                  <a:t>Stock Price on maturity</a:t>
                </a:r>
              </a:p>
            </c:rich>
          </c:tx>
          <c:overlay val="0"/>
        </c:title>
        <c:numFmt formatCode="General" sourceLinked="1"/>
        <c:majorTickMark val="out"/>
        <c:minorTickMark val="none"/>
        <c:tickLblPos val="nextTo"/>
        <c:crossAx val="109245568"/>
        <c:crosses val="autoZero"/>
        <c:crossBetween val="midCat"/>
      </c:valAx>
      <c:valAx>
        <c:axId val="109245568"/>
        <c:scaling>
          <c:orientation val="minMax"/>
        </c:scaling>
        <c:delete val="0"/>
        <c:axPos val="l"/>
        <c:majorGridlines/>
        <c:numFmt formatCode="General" sourceLinked="1"/>
        <c:majorTickMark val="out"/>
        <c:minorTickMark val="none"/>
        <c:tickLblPos val="nextTo"/>
        <c:crossAx val="109231104"/>
        <c:crosses val="autoZero"/>
        <c:crossBetween val="midCat"/>
      </c:valAx>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8.png"/></Relationships>
</file>

<file path=xl/drawings/_rels/drawing28.xml.rels><?xml version="1.0" encoding="UTF-8" standalone="yes"?>
<Relationships xmlns="http://schemas.openxmlformats.org/package/2006/relationships"><Relationship Id="rId16" Type="http://schemas.openxmlformats.org/officeDocument/2006/relationships/image" Target="NULL"/><Relationship Id="rId1" Type="http://schemas.openxmlformats.org/officeDocument/2006/relationships/customXml" Target="../ink/ink1.xml"/></Relationships>
</file>

<file path=xl/drawings/_rels/drawing29.xml.rels><?xml version="1.0" encoding="UTF-8" standalone="yes"?>
<Relationships xmlns="http://schemas.openxmlformats.org/package/2006/relationships"><Relationship Id="rId13" Type="http://schemas.openxmlformats.org/officeDocument/2006/relationships/customXml" Target="../ink/ink5.xml"/><Relationship Id="rId3" Type="http://schemas.openxmlformats.org/officeDocument/2006/relationships/customXml" Target="../ink/ink3.xml"/><Relationship Id="rId12" Type="http://schemas.openxmlformats.org/officeDocument/2006/relationships/image" Target="NULL"/><Relationship Id="rId17" Type="http://schemas.openxmlformats.org/officeDocument/2006/relationships/image" Target="NULL"/><Relationship Id="rId2" Type="http://schemas.openxmlformats.org/officeDocument/2006/relationships/image" Target="NULL"/><Relationship Id="rId16" Type="http://schemas.openxmlformats.org/officeDocument/2006/relationships/customXml" Target="../ink/ink7.xml"/><Relationship Id="rId1" Type="http://schemas.openxmlformats.org/officeDocument/2006/relationships/customXml" Target="../ink/ink2.xml"/><Relationship Id="rId5" Type="http://schemas.openxmlformats.org/officeDocument/2006/relationships/customXml" Target="../ink/ink4.xml"/><Relationship Id="rId15" Type="http://schemas.openxmlformats.org/officeDocument/2006/relationships/image" Target="NULL"/><Relationship Id="rId4" Type="http://schemas.openxmlformats.org/officeDocument/2006/relationships/image" Target="NULL"/><Relationship Id="rId14" Type="http://schemas.openxmlformats.org/officeDocument/2006/relationships/customXml" Target="../ink/ink6.xml"/></Relationships>
</file>

<file path=xl/drawings/_rels/drawing30.xml.rels><?xml version="1.0" encoding="UTF-8" standalone="yes"?>
<Relationships xmlns="http://schemas.openxmlformats.org/package/2006/relationships"><Relationship Id="rId8" Type="http://schemas.openxmlformats.org/officeDocument/2006/relationships/image" Target="NULL"/><Relationship Id="rId1" Type="http://schemas.openxmlformats.org/officeDocument/2006/relationships/customXml" Target="../ink/ink8.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7.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chart" Target="../charts/chart15.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4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4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47.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4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4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vmlDrawing19.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920750</xdr:colOff>
      <xdr:row>3</xdr:row>
      <xdr:rowOff>38100</xdr:rowOff>
    </xdr:from>
    <xdr:to>
      <xdr:col>2</xdr:col>
      <xdr:colOff>920750</xdr:colOff>
      <xdr:row>5</xdr:row>
      <xdr:rowOff>120650</xdr:rowOff>
    </xdr:to>
    <xdr:cxnSp macro="">
      <xdr:nvCxnSpPr>
        <xdr:cNvPr id="2" name="Straight Arrow Connector 1">
          <a:extLst>
            <a:ext uri="{FF2B5EF4-FFF2-40B4-BE49-F238E27FC236}">
              <a16:creationId xmlns:a16="http://schemas.microsoft.com/office/drawing/2014/main" id="{467ABC7C-D563-4B81-ACD6-5C0C24A931D4}"/>
            </a:ext>
          </a:extLst>
        </xdr:cNvPr>
        <xdr:cNvCxnSpPr/>
      </xdr:nvCxnSpPr>
      <xdr:spPr bwMode="auto">
        <a:xfrm>
          <a:off x="2438400" y="5143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933450</xdr:colOff>
      <xdr:row>7</xdr:row>
      <xdr:rowOff>44450</xdr:rowOff>
    </xdr:from>
    <xdr:to>
      <xdr:col>2</xdr:col>
      <xdr:colOff>933450</xdr:colOff>
      <xdr:row>9</xdr:row>
      <xdr:rowOff>127000</xdr:rowOff>
    </xdr:to>
    <xdr:cxnSp macro="">
      <xdr:nvCxnSpPr>
        <xdr:cNvPr id="3" name="Straight Arrow Connector 2">
          <a:extLst>
            <a:ext uri="{FF2B5EF4-FFF2-40B4-BE49-F238E27FC236}">
              <a16:creationId xmlns:a16="http://schemas.microsoft.com/office/drawing/2014/main" id="{12204617-1CC0-44CD-972F-A4A917DB1B72}"/>
            </a:ext>
          </a:extLst>
        </xdr:cNvPr>
        <xdr:cNvCxnSpPr/>
      </xdr:nvCxnSpPr>
      <xdr:spPr bwMode="auto">
        <a:xfrm>
          <a:off x="2451100" y="115570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1041400</xdr:colOff>
      <xdr:row>3</xdr:row>
      <xdr:rowOff>76200</xdr:rowOff>
    </xdr:from>
    <xdr:to>
      <xdr:col>4</xdr:col>
      <xdr:colOff>25400</xdr:colOff>
      <xdr:row>9</xdr:row>
      <xdr:rowOff>76200</xdr:rowOff>
    </xdr:to>
    <xdr:cxnSp macro="">
      <xdr:nvCxnSpPr>
        <xdr:cNvPr id="4" name="Straight Arrow Connector 3">
          <a:extLst>
            <a:ext uri="{FF2B5EF4-FFF2-40B4-BE49-F238E27FC236}">
              <a16:creationId xmlns:a16="http://schemas.microsoft.com/office/drawing/2014/main" id="{777131B3-9B18-43EA-9520-C9C1900BB585}"/>
            </a:ext>
          </a:extLst>
        </xdr:cNvPr>
        <xdr:cNvCxnSpPr/>
      </xdr:nvCxnSpPr>
      <xdr:spPr bwMode="auto">
        <a:xfrm flipV="1">
          <a:off x="2559050" y="552450"/>
          <a:ext cx="838200" cy="9525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xdr:col>
      <xdr:colOff>38100</xdr:colOff>
      <xdr:row>0</xdr:row>
      <xdr:rowOff>114300</xdr:rowOff>
    </xdr:from>
    <xdr:to>
      <xdr:col>9</xdr:col>
      <xdr:colOff>190500</xdr:colOff>
      <xdr:row>12</xdr:row>
      <xdr:rowOff>82550</xdr:rowOff>
    </xdr:to>
    <xdr:sp macro="" textlink="">
      <xdr:nvSpPr>
        <xdr:cNvPr id="5" name="Flowchart: Decision 4">
          <a:extLst>
            <a:ext uri="{FF2B5EF4-FFF2-40B4-BE49-F238E27FC236}">
              <a16:creationId xmlns:a16="http://schemas.microsoft.com/office/drawing/2014/main" id="{7A158A5D-B063-480C-810B-C32CC3347281}"/>
            </a:ext>
          </a:extLst>
        </xdr:cNvPr>
        <xdr:cNvSpPr/>
      </xdr:nvSpPr>
      <xdr:spPr bwMode="auto">
        <a:xfrm>
          <a:off x="4933950" y="114300"/>
          <a:ext cx="1981200" cy="1873250"/>
        </a:xfrm>
        <a:prstGeom prst="flowChartDecision">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CA" sz="1100"/>
        </a:p>
      </xdr:txBody>
    </xdr:sp>
    <xdr:clientData/>
  </xdr:twoCellAnchor>
  <xdr:twoCellAnchor>
    <xdr:from>
      <xdr:col>6</xdr:col>
      <xdr:colOff>463550</xdr:colOff>
      <xdr:row>4</xdr:row>
      <xdr:rowOff>38100</xdr:rowOff>
    </xdr:from>
    <xdr:to>
      <xdr:col>8</xdr:col>
      <xdr:colOff>374650</xdr:colOff>
      <xdr:row>8</xdr:row>
      <xdr:rowOff>120650</xdr:rowOff>
    </xdr:to>
    <xdr:sp macro="" textlink="">
      <xdr:nvSpPr>
        <xdr:cNvPr id="6" name="TextBox 5">
          <a:extLst>
            <a:ext uri="{FF2B5EF4-FFF2-40B4-BE49-F238E27FC236}">
              <a16:creationId xmlns:a16="http://schemas.microsoft.com/office/drawing/2014/main" id="{AD233631-5F25-44A7-A375-F68B8F492802}"/>
            </a:ext>
          </a:extLst>
        </xdr:cNvPr>
        <xdr:cNvSpPr txBox="1"/>
      </xdr:nvSpPr>
      <xdr:spPr>
        <a:xfrm>
          <a:off x="5359400" y="673100"/>
          <a:ext cx="1130300" cy="717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a:t>If market makers</a:t>
          </a:r>
          <a:r>
            <a:rPr lang="en-CA" sz="1000" baseline="0"/>
            <a:t> books have offsetting positions</a:t>
          </a:r>
          <a:endParaRPr lang="en-CA" sz="1000"/>
        </a:p>
      </xdr:txBody>
    </xdr:sp>
    <xdr:clientData/>
  </xdr:twoCellAnchor>
  <xdr:twoCellAnchor>
    <xdr:from>
      <xdr:col>5</xdr:col>
      <xdr:colOff>57150</xdr:colOff>
      <xdr:row>2</xdr:row>
      <xdr:rowOff>101600</xdr:rowOff>
    </xdr:from>
    <xdr:to>
      <xdr:col>6</xdr:col>
      <xdr:colOff>273050</xdr:colOff>
      <xdr:row>4</xdr:row>
      <xdr:rowOff>82550</xdr:rowOff>
    </xdr:to>
    <xdr:cxnSp macro="">
      <xdr:nvCxnSpPr>
        <xdr:cNvPr id="7" name="Straight Arrow Connector 6">
          <a:extLst>
            <a:ext uri="{FF2B5EF4-FFF2-40B4-BE49-F238E27FC236}">
              <a16:creationId xmlns:a16="http://schemas.microsoft.com/office/drawing/2014/main" id="{139570F9-A6CB-4A36-849C-E179F683BF8D}"/>
            </a:ext>
          </a:extLst>
        </xdr:cNvPr>
        <xdr:cNvCxnSpPr/>
      </xdr:nvCxnSpPr>
      <xdr:spPr bwMode="auto">
        <a:xfrm>
          <a:off x="4343400" y="419100"/>
          <a:ext cx="825500" cy="2984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50800</xdr:colOff>
      <xdr:row>8</xdr:row>
      <xdr:rowOff>139700</xdr:rowOff>
    </xdr:from>
    <xdr:to>
      <xdr:col>6</xdr:col>
      <xdr:colOff>336550</xdr:colOff>
      <xdr:row>19</xdr:row>
      <xdr:rowOff>95250</xdr:rowOff>
    </xdr:to>
    <xdr:cxnSp macro="">
      <xdr:nvCxnSpPr>
        <xdr:cNvPr id="8" name="Straight Arrow Connector 7">
          <a:extLst>
            <a:ext uri="{FF2B5EF4-FFF2-40B4-BE49-F238E27FC236}">
              <a16:creationId xmlns:a16="http://schemas.microsoft.com/office/drawing/2014/main" id="{67EA7A48-442C-48D5-9125-F15C408597FC}"/>
            </a:ext>
          </a:extLst>
        </xdr:cNvPr>
        <xdr:cNvCxnSpPr/>
      </xdr:nvCxnSpPr>
      <xdr:spPr bwMode="auto">
        <a:xfrm flipH="1">
          <a:off x="3422650" y="1409700"/>
          <a:ext cx="1809750" cy="1701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400050</xdr:colOff>
      <xdr:row>11</xdr:row>
      <xdr:rowOff>120650</xdr:rowOff>
    </xdr:from>
    <xdr:to>
      <xdr:col>2</xdr:col>
      <xdr:colOff>1200150</xdr:colOff>
      <xdr:row>19</xdr:row>
      <xdr:rowOff>133350</xdr:rowOff>
    </xdr:to>
    <xdr:cxnSp macro="">
      <xdr:nvCxnSpPr>
        <xdr:cNvPr id="9" name="Straight Arrow Connector 8">
          <a:extLst>
            <a:ext uri="{FF2B5EF4-FFF2-40B4-BE49-F238E27FC236}">
              <a16:creationId xmlns:a16="http://schemas.microsoft.com/office/drawing/2014/main" id="{06984097-964D-4B42-A232-6D75B1CA492B}"/>
            </a:ext>
          </a:extLst>
        </xdr:cNvPr>
        <xdr:cNvCxnSpPr/>
      </xdr:nvCxnSpPr>
      <xdr:spPr bwMode="auto">
        <a:xfrm flipH="1" flipV="1">
          <a:off x="1917700" y="1866900"/>
          <a:ext cx="800100" cy="128270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2</xdr:col>
      <xdr:colOff>344384</xdr:colOff>
      <xdr:row>11</xdr:row>
      <xdr:rowOff>132821</xdr:rowOff>
    </xdr:from>
    <xdr:to>
      <xdr:col>2</xdr:col>
      <xdr:colOff>797795</xdr:colOff>
      <xdr:row>21</xdr:row>
      <xdr:rowOff>88371</xdr:rowOff>
    </xdr:to>
    <xdr:sp macro="" textlink="">
      <xdr:nvSpPr>
        <xdr:cNvPr id="10" name="TextBox 9">
          <a:extLst>
            <a:ext uri="{FF2B5EF4-FFF2-40B4-BE49-F238E27FC236}">
              <a16:creationId xmlns:a16="http://schemas.microsoft.com/office/drawing/2014/main" id="{0EB1C69A-66C6-4707-BD11-5277C8642939}"/>
            </a:ext>
          </a:extLst>
        </xdr:cNvPr>
        <xdr:cNvSpPr txBox="1"/>
      </xdr:nvSpPr>
      <xdr:spPr>
        <a:xfrm rot="3464455">
          <a:off x="1317215" y="2423890"/>
          <a:ext cx="1543050" cy="453411"/>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Fills </a:t>
          </a:r>
          <a:r>
            <a:rPr lang="en-CA" sz="1100" baseline="0"/>
            <a:t>get routed to Robinhood Securities </a:t>
          </a:r>
          <a:endParaRPr lang="en-CA" sz="1100"/>
        </a:p>
      </xdr:txBody>
    </xdr:sp>
    <xdr:clientData/>
  </xdr:twoCellAnchor>
  <xdr:twoCellAnchor>
    <xdr:from>
      <xdr:col>2</xdr:col>
      <xdr:colOff>444500</xdr:colOff>
      <xdr:row>7</xdr:row>
      <xdr:rowOff>25400</xdr:rowOff>
    </xdr:from>
    <xdr:to>
      <xdr:col>2</xdr:col>
      <xdr:colOff>457200</xdr:colOff>
      <xdr:row>9</xdr:row>
      <xdr:rowOff>133350</xdr:rowOff>
    </xdr:to>
    <xdr:cxnSp macro="">
      <xdr:nvCxnSpPr>
        <xdr:cNvPr id="11" name="Straight Arrow Connector 10">
          <a:extLst>
            <a:ext uri="{FF2B5EF4-FFF2-40B4-BE49-F238E27FC236}">
              <a16:creationId xmlns:a16="http://schemas.microsoft.com/office/drawing/2014/main" id="{B5AAF6EB-9212-4072-B4C5-A411726EE3AF}"/>
            </a:ext>
          </a:extLst>
        </xdr:cNvPr>
        <xdr:cNvCxnSpPr/>
      </xdr:nvCxnSpPr>
      <xdr:spPr bwMode="auto">
        <a:xfrm flipV="1">
          <a:off x="1962150" y="1136650"/>
          <a:ext cx="12700" cy="4254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2</xdr:col>
      <xdr:colOff>457200</xdr:colOff>
      <xdr:row>3</xdr:row>
      <xdr:rowOff>0</xdr:rowOff>
    </xdr:from>
    <xdr:to>
      <xdr:col>2</xdr:col>
      <xdr:colOff>469900</xdr:colOff>
      <xdr:row>5</xdr:row>
      <xdr:rowOff>107950</xdr:rowOff>
    </xdr:to>
    <xdr:cxnSp macro="">
      <xdr:nvCxnSpPr>
        <xdr:cNvPr id="12" name="Straight Arrow Connector 11">
          <a:extLst>
            <a:ext uri="{FF2B5EF4-FFF2-40B4-BE49-F238E27FC236}">
              <a16:creationId xmlns:a16="http://schemas.microsoft.com/office/drawing/2014/main" id="{C071888C-A00A-4418-A6CF-411FD369B6A7}"/>
            </a:ext>
          </a:extLst>
        </xdr:cNvPr>
        <xdr:cNvCxnSpPr/>
      </xdr:nvCxnSpPr>
      <xdr:spPr bwMode="auto">
        <a:xfrm flipV="1">
          <a:off x="1974850" y="476250"/>
          <a:ext cx="12700" cy="4254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0</xdr:col>
      <xdr:colOff>361950</xdr:colOff>
      <xdr:row>3</xdr:row>
      <xdr:rowOff>25400</xdr:rowOff>
    </xdr:from>
    <xdr:to>
      <xdr:col>2</xdr:col>
      <xdr:colOff>374650</xdr:colOff>
      <xdr:row>5</xdr:row>
      <xdr:rowOff>133350</xdr:rowOff>
    </xdr:to>
    <xdr:sp macro="" textlink="">
      <xdr:nvSpPr>
        <xdr:cNvPr id="13" name="TextBox 12">
          <a:extLst>
            <a:ext uri="{FF2B5EF4-FFF2-40B4-BE49-F238E27FC236}">
              <a16:creationId xmlns:a16="http://schemas.microsoft.com/office/drawing/2014/main" id="{B83ECFE1-6CA1-4AB9-BF2B-415A75EBFB2A}"/>
            </a:ext>
          </a:extLst>
        </xdr:cNvPr>
        <xdr:cNvSpPr txBox="1"/>
      </xdr:nvSpPr>
      <xdr:spPr>
        <a:xfrm>
          <a:off x="361950" y="501650"/>
          <a:ext cx="1530350" cy="4254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t>Order reflected in Dashboard</a:t>
          </a:r>
        </a:p>
      </xdr:txBody>
    </xdr:sp>
    <xdr:clientData/>
  </xdr:twoCellAnchor>
  <xdr:twoCellAnchor>
    <xdr:from>
      <xdr:col>7</xdr:col>
      <xdr:colOff>406400</xdr:colOff>
      <xdr:row>12</xdr:row>
      <xdr:rowOff>120650</xdr:rowOff>
    </xdr:from>
    <xdr:to>
      <xdr:col>7</xdr:col>
      <xdr:colOff>412750</xdr:colOff>
      <xdr:row>16</xdr:row>
      <xdr:rowOff>107950</xdr:rowOff>
    </xdr:to>
    <xdr:cxnSp macro="">
      <xdr:nvCxnSpPr>
        <xdr:cNvPr id="14" name="Straight Arrow Connector 13">
          <a:extLst>
            <a:ext uri="{FF2B5EF4-FFF2-40B4-BE49-F238E27FC236}">
              <a16:creationId xmlns:a16="http://schemas.microsoft.com/office/drawing/2014/main" id="{B62C08D3-15A5-4625-ABDF-97BED6241D79}"/>
            </a:ext>
          </a:extLst>
        </xdr:cNvPr>
        <xdr:cNvCxnSpPr/>
      </xdr:nvCxnSpPr>
      <xdr:spPr bwMode="auto">
        <a:xfrm flipH="1">
          <a:off x="5911850" y="2025650"/>
          <a:ext cx="6350" cy="622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xdr:col>
      <xdr:colOff>393700</xdr:colOff>
      <xdr:row>18</xdr:row>
      <xdr:rowOff>95250</xdr:rowOff>
    </xdr:from>
    <xdr:to>
      <xdr:col>7</xdr:col>
      <xdr:colOff>406400</xdr:colOff>
      <xdr:row>23</xdr:row>
      <xdr:rowOff>133350</xdr:rowOff>
    </xdr:to>
    <xdr:cxnSp macro="">
      <xdr:nvCxnSpPr>
        <xdr:cNvPr id="15" name="Straight Arrow Connector 14">
          <a:extLst>
            <a:ext uri="{FF2B5EF4-FFF2-40B4-BE49-F238E27FC236}">
              <a16:creationId xmlns:a16="http://schemas.microsoft.com/office/drawing/2014/main" id="{AB692293-7E6A-463E-92E8-C679004279AD}"/>
            </a:ext>
          </a:extLst>
        </xdr:cNvPr>
        <xdr:cNvCxnSpPr/>
      </xdr:nvCxnSpPr>
      <xdr:spPr bwMode="auto">
        <a:xfrm>
          <a:off x="5899150" y="2952750"/>
          <a:ext cx="12700" cy="8318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946150</xdr:colOff>
      <xdr:row>21</xdr:row>
      <xdr:rowOff>76200</xdr:rowOff>
    </xdr:from>
    <xdr:to>
      <xdr:col>4</xdr:col>
      <xdr:colOff>850900</xdr:colOff>
      <xdr:row>24</xdr:row>
      <xdr:rowOff>88900</xdr:rowOff>
    </xdr:to>
    <xdr:cxnSp macro="">
      <xdr:nvCxnSpPr>
        <xdr:cNvPr id="16" name="Straight Arrow Connector 15">
          <a:extLst>
            <a:ext uri="{FF2B5EF4-FFF2-40B4-BE49-F238E27FC236}">
              <a16:creationId xmlns:a16="http://schemas.microsoft.com/office/drawing/2014/main" id="{41FCD4C4-23D1-4FA8-9A7F-2469340DCE9C}"/>
            </a:ext>
          </a:extLst>
        </xdr:cNvPr>
        <xdr:cNvCxnSpPr/>
      </xdr:nvCxnSpPr>
      <xdr:spPr bwMode="auto">
        <a:xfrm flipH="1" flipV="1">
          <a:off x="2463800" y="3409950"/>
          <a:ext cx="1758950" cy="4889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xdr:col>
      <xdr:colOff>127000</xdr:colOff>
      <xdr:row>18</xdr:row>
      <xdr:rowOff>88900</xdr:rowOff>
    </xdr:from>
    <xdr:to>
      <xdr:col>2</xdr:col>
      <xdr:colOff>368300</xdr:colOff>
      <xdr:row>18</xdr:row>
      <xdr:rowOff>101600</xdr:rowOff>
    </xdr:to>
    <xdr:cxnSp macro="">
      <xdr:nvCxnSpPr>
        <xdr:cNvPr id="17" name="Straight Arrow Connector 16">
          <a:extLst>
            <a:ext uri="{FF2B5EF4-FFF2-40B4-BE49-F238E27FC236}">
              <a16:creationId xmlns:a16="http://schemas.microsoft.com/office/drawing/2014/main" id="{190B3010-992D-4314-B9E1-41DF5AE6728C}"/>
            </a:ext>
          </a:extLst>
        </xdr:cNvPr>
        <xdr:cNvCxnSpPr/>
      </xdr:nvCxnSpPr>
      <xdr:spPr bwMode="auto">
        <a:xfrm flipH="1">
          <a:off x="1035050" y="2946400"/>
          <a:ext cx="850900" cy="1270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0</xdr:col>
      <xdr:colOff>527050</xdr:colOff>
      <xdr:row>11</xdr:row>
      <xdr:rowOff>50800</xdr:rowOff>
    </xdr:from>
    <xdr:to>
      <xdr:col>2</xdr:col>
      <xdr:colOff>247650</xdr:colOff>
      <xdr:row>17</xdr:row>
      <xdr:rowOff>152400</xdr:rowOff>
    </xdr:to>
    <xdr:cxnSp macro="">
      <xdr:nvCxnSpPr>
        <xdr:cNvPr id="18" name="Straight Arrow Connector 17">
          <a:extLst>
            <a:ext uri="{FF2B5EF4-FFF2-40B4-BE49-F238E27FC236}">
              <a16:creationId xmlns:a16="http://schemas.microsoft.com/office/drawing/2014/main" id="{5AB7E8CF-B413-458C-B42B-0839BA99939D}"/>
            </a:ext>
          </a:extLst>
        </xdr:cNvPr>
        <xdr:cNvCxnSpPr/>
      </xdr:nvCxnSpPr>
      <xdr:spPr bwMode="auto">
        <a:xfrm flipV="1">
          <a:off x="527050" y="1797050"/>
          <a:ext cx="1238250" cy="105410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0</xdr:col>
      <xdr:colOff>152361</xdr:colOff>
      <xdr:row>9</xdr:row>
      <xdr:rowOff>113117</xdr:rowOff>
    </xdr:from>
    <xdr:to>
      <xdr:col>1</xdr:col>
      <xdr:colOff>564411</xdr:colOff>
      <xdr:row>15</xdr:row>
      <xdr:rowOff>61974</xdr:rowOff>
    </xdr:to>
    <xdr:sp macro="" textlink="">
      <xdr:nvSpPr>
        <xdr:cNvPr id="19" name="TextBox 18">
          <a:extLst>
            <a:ext uri="{FF2B5EF4-FFF2-40B4-BE49-F238E27FC236}">
              <a16:creationId xmlns:a16="http://schemas.microsoft.com/office/drawing/2014/main" id="{4D3B0CF6-40D5-418A-82D6-C60FF71F339E}"/>
            </a:ext>
          </a:extLst>
        </xdr:cNvPr>
        <xdr:cNvSpPr txBox="1"/>
      </xdr:nvSpPr>
      <xdr:spPr>
        <a:xfrm rot="19191778">
          <a:off x="152361" y="1541867"/>
          <a:ext cx="1320100" cy="901357"/>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t>Once confirmed,</a:t>
          </a:r>
          <a:r>
            <a:rPr lang="en-CA" sz="1000" baseline="0"/>
            <a:t> the stock gets deposited into Robihood's accout for custody and cash gets paid</a:t>
          </a:r>
          <a:endParaRPr lang="en-CA"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427181</xdr:colOff>
      <xdr:row>1</xdr:row>
      <xdr:rowOff>5774</xdr:rowOff>
    </xdr:from>
    <xdr:to>
      <xdr:col>14</xdr:col>
      <xdr:colOff>203200</xdr:colOff>
      <xdr:row>19</xdr:row>
      <xdr:rowOff>15875</xdr:rowOff>
    </xdr:to>
    <xdr:graphicFrame macro="">
      <xdr:nvGraphicFramePr>
        <xdr:cNvPr id="2" name="Chart 1">
          <a:extLst>
            <a:ext uri="{FF2B5EF4-FFF2-40B4-BE49-F238E27FC236}">
              <a16:creationId xmlns:a16="http://schemas.microsoft.com/office/drawing/2014/main" id="{8ACB0502-4F40-4654-8EE2-6C9A34FE4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289582</xdr:colOff>
      <xdr:row>0</xdr:row>
      <xdr:rowOff>98536</xdr:rowOff>
    </xdr:from>
    <xdr:to>
      <xdr:col>7</xdr:col>
      <xdr:colOff>782801</xdr:colOff>
      <xdr:row>13</xdr:row>
      <xdr:rowOff>27371</xdr:rowOff>
    </xdr:to>
    <xdr:graphicFrame macro="">
      <xdr:nvGraphicFramePr>
        <xdr:cNvPr id="2" name="Chart 1">
          <a:extLst>
            <a:ext uri="{FF2B5EF4-FFF2-40B4-BE49-F238E27FC236}">
              <a16:creationId xmlns:a16="http://schemas.microsoft.com/office/drawing/2014/main" id="{185BB3E7-D85A-4227-B793-86539BCB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881337</xdr:colOff>
      <xdr:row>0</xdr:row>
      <xdr:rowOff>93060</xdr:rowOff>
    </xdr:from>
    <xdr:to>
      <xdr:col>11</xdr:col>
      <xdr:colOff>284655</xdr:colOff>
      <xdr:row>13</xdr:row>
      <xdr:rowOff>5474</xdr:rowOff>
    </xdr:to>
    <xdr:graphicFrame macro="">
      <xdr:nvGraphicFramePr>
        <xdr:cNvPr id="3" name="Chart 2">
          <a:extLst>
            <a:ext uri="{FF2B5EF4-FFF2-40B4-BE49-F238E27FC236}">
              <a16:creationId xmlns:a16="http://schemas.microsoft.com/office/drawing/2014/main" id="{65AD90F3-E0FB-4D3B-9E69-14ED6B193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474646</xdr:colOff>
      <xdr:row>16</xdr:row>
      <xdr:rowOff>147525</xdr:rowOff>
    </xdr:from>
    <xdr:to>
      <xdr:col>12</xdr:col>
      <xdr:colOff>217313</xdr:colOff>
      <xdr:row>18</xdr:row>
      <xdr:rowOff>109041</xdr:rowOff>
    </xdr:to>
    <xdr:pic>
      <xdr:nvPicPr>
        <xdr:cNvPr id="2" name="Picture 1">
          <a:extLst>
            <a:ext uri="{FF2B5EF4-FFF2-40B4-BE49-F238E27FC236}">
              <a16:creationId xmlns:a16="http://schemas.microsoft.com/office/drawing/2014/main" id="{48D60232-D62E-4672-9B2A-DEE8DBDD8CA9}"/>
            </a:ext>
          </a:extLst>
        </xdr:cNvPr>
        <xdr:cNvPicPr>
          <a:picLocks noChangeAspect="1"/>
        </xdr:cNvPicPr>
      </xdr:nvPicPr>
      <xdr:blipFill>
        <a:blip xmlns:r="http://schemas.openxmlformats.org/officeDocument/2006/relationships" r:embed="rId1"/>
        <a:stretch>
          <a:fillRect/>
        </a:stretch>
      </xdr:blipFill>
      <xdr:spPr>
        <a:xfrm>
          <a:off x="9085246" y="2700225"/>
          <a:ext cx="384017" cy="2917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25657</xdr:colOff>
      <xdr:row>30</xdr:row>
      <xdr:rowOff>102626</xdr:rowOff>
    </xdr:from>
    <xdr:to>
      <xdr:col>14</xdr:col>
      <xdr:colOff>409738</xdr:colOff>
      <xdr:row>32</xdr:row>
      <xdr:rowOff>64142</xdr:rowOff>
    </xdr:to>
    <xdr:pic>
      <xdr:nvPicPr>
        <xdr:cNvPr id="2" name="Picture 1">
          <a:extLst>
            <a:ext uri="{FF2B5EF4-FFF2-40B4-BE49-F238E27FC236}">
              <a16:creationId xmlns:a16="http://schemas.microsoft.com/office/drawing/2014/main" id="{132E7BD8-9FEA-4EFA-8D02-BA3CCF56CC2A}"/>
            </a:ext>
          </a:extLst>
        </xdr:cNvPr>
        <xdr:cNvPicPr>
          <a:picLocks noChangeAspect="1"/>
        </xdr:cNvPicPr>
      </xdr:nvPicPr>
      <xdr:blipFill>
        <a:blip xmlns:r="http://schemas.openxmlformats.org/officeDocument/2006/relationships" r:embed="rId1"/>
        <a:stretch>
          <a:fillRect/>
        </a:stretch>
      </xdr:blipFill>
      <xdr:spPr>
        <a:xfrm>
          <a:off x="10992107" y="4890526"/>
          <a:ext cx="384081" cy="2917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155575</xdr:colOff>
      <xdr:row>15</xdr:row>
      <xdr:rowOff>165100</xdr:rowOff>
    </xdr:from>
    <xdr:to>
      <xdr:col>8</xdr:col>
      <xdr:colOff>263525</xdr:colOff>
      <xdr:row>30</xdr:row>
      <xdr:rowOff>146050</xdr:rowOff>
    </xdr:to>
    <xdr:graphicFrame macro="">
      <xdr:nvGraphicFramePr>
        <xdr:cNvPr id="2" name="Chart 1">
          <a:extLst>
            <a:ext uri="{FF2B5EF4-FFF2-40B4-BE49-F238E27FC236}">
              <a16:creationId xmlns:a16="http://schemas.microsoft.com/office/drawing/2014/main" id="{E5E345ED-B590-4784-AE14-A23D5E7CB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155575</xdr:colOff>
      <xdr:row>15</xdr:row>
      <xdr:rowOff>165100</xdr:rowOff>
    </xdr:from>
    <xdr:to>
      <xdr:col>8</xdr:col>
      <xdr:colOff>263525</xdr:colOff>
      <xdr:row>30</xdr:row>
      <xdr:rowOff>146050</xdr:rowOff>
    </xdr:to>
    <xdr:graphicFrame macro="">
      <xdr:nvGraphicFramePr>
        <xdr:cNvPr id="2" name="Chart 1">
          <a:extLst>
            <a:ext uri="{FF2B5EF4-FFF2-40B4-BE49-F238E27FC236}">
              <a16:creationId xmlns:a16="http://schemas.microsoft.com/office/drawing/2014/main" id="{6C56F949-A6F9-40DE-8135-E9F910267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60325</xdr:colOff>
      <xdr:row>0</xdr:row>
      <xdr:rowOff>38100</xdr:rowOff>
    </xdr:from>
    <xdr:to>
      <xdr:col>9</xdr:col>
      <xdr:colOff>3349625</xdr:colOff>
      <xdr:row>20</xdr:row>
      <xdr:rowOff>25400</xdr:rowOff>
    </xdr:to>
    <xdr:graphicFrame macro="">
      <xdr:nvGraphicFramePr>
        <xdr:cNvPr id="2" name="Chart 1">
          <a:extLst>
            <a:ext uri="{FF2B5EF4-FFF2-40B4-BE49-F238E27FC236}">
              <a16:creationId xmlns:a16="http://schemas.microsoft.com/office/drawing/2014/main" id="{51F7DC6D-EE97-49D6-A6BE-64BFC9B84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352425</xdr:colOff>
      <xdr:row>16</xdr:row>
      <xdr:rowOff>69850</xdr:rowOff>
    </xdr:from>
    <xdr:to>
      <xdr:col>16</xdr:col>
      <xdr:colOff>434975</xdr:colOff>
      <xdr:row>33</xdr:row>
      <xdr:rowOff>50800</xdr:rowOff>
    </xdr:to>
    <xdr:graphicFrame macro="">
      <xdr:nvGraphicFramePr>
        <xdr:cNvPr id="2" name="Chart 1">
          <a:extLst>
            <a:ext uri="{FF2B5EF4-FFF2-40B4-BE49-F238E27FC236}">
              <a16:creationId xmlns:a16="http://schemas.microsoft.com/office/drawing/2014/main" id="{27AF816B-F2BA-4164-A396-1B5EBAC6C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609600</xdr:colOff>
      <xdr:row>50</xdr:row>
      <xdr:rowOff>66675</xdr:rowOff>
    </xdr:from>
    <xdr:to>
      <xdr:col>5</xdr:col>
      <xdr:colOff>609600</xdr:colOff>
      <xdr:row>67</xdr:row>
      <xdr:rowOff>57150</xdr:rowOff>
    </xdr:to>
    <xdr:graphicFrame macro="">
      <xdr:nvGraphicFramePr>
        <xdr:cNvPr id="2" name="Chart 2">
          <a:extLst>
            <a:ext uri="{FF2B5EF4-FFF2-40B4-BE49-F238E27FC236}">
              <a16:creationId xmlns:a16="http://schemas.microsoft.com/office/drawing/2014/main" id="{FA1A0085-6D44-4089-9D2C-DE08821D8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152400</xdr:colOff>
      <xdr:row>12</xdr:row>
      <xdr:rowOff>107950</xdr:rowOff>
    </xdr:from>
    <xdr:to>
      <xdr:col>10</xdr:col>
      <xdr:colOff>165100</xdr:colOff>
      <xdr:row>12</xdr:row>
      <xdr:rowOff>114300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bwMode="auto">
        <a:xfrm flipV="1">
          <a:off x="3702050" y="2012950"/>
          <a:ext cx="2774950" cy="6350"/>
        </a:xfrm>
        <a:prstGeom prst="straightConnector1">
          <a:avLst/>
        </a:prstGeom>
        <a:solidFill>
          <a:srgbClr val="FFFFFF"/>
        </a:solidFill>
        <a:ln w="38100" cap="flat" cmpd="sng" algn="ctr">
          <a:solidFill>
            <a:srgbClr val="000000"/>
          </a:solidFill>
          <a:prstDash val="solid"/>
          <a:round/>
          <a:headEnd type="none" w="med" len="med"/>
          <a:tailEnd type="triangle"/>
        </a:ln>
        <a:effectLst/>
      </xdr:spPr>
    </xdr:cxnSp>
    <xdr:clientData/>
  </xdr:twoCellAnchor>
  <xdr:twoCellAnchor>
    <xdr:from>
      <xdr:col>5</xdr:col>
      <xdr:colOff>152400</xdr:colOff>
      <xdr:row>12</xdr:row>
      <xdr:rowOff>19050</xdr:rowOff>
    </xdr:from>
    <xdr:to>
      <xdr:col>5</xdr:col>
      <xdr:colOff>165100</xdr:colOff>
      <xdr:row>13</xdr:row>
      <xdr:rowOff>12700</xdr:rowOff>
    </xdr:to>
    <xdr:cxnSp macro="">
      <xdr:nvCxnSpPr>
        <xdr:cNvPr id="3" name="Straight Connector 2">
          <a:extLst>
            <a:ext uri="{FF2B5EF4-FFF2-40B4-BE49-F238E27FC236}">
              <a16:creationId xmlns:a16="http://schemas.microsoft.com/office/drawing/2014/main" id="{00000000-0008-0000-1900-000003000000}"/>
            </a:ext>
          </a:extLst>
        </xdr:cNvPr>
        <xdr:cNvCxnSpPr/>
      </xdr:nvCxnSpPr>
      <xdr:spPr bwMode="auto">
        <a:xfrm>
          <a:off x="3702050" y="1924050"/>
          <a:ext cx="1270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7</xdr:col>
      <xdr:colOff>139700</xdr:colOff>
      <xdr:row>12</xdr:row>
      <xdr:rowOff>6350</xdr:rowOff>
    </xdr:from>
    <xdr:to>
      <xdr:col>7</xdr:col>
      <xdr:colOff>139700</xdr:colOff>
      <xdr:row>13</xdr:row>
      <xdr:rowOff>0</xdr:rowOff>
    </xdr:to>
    <xdr:cxnSp macro="">
      <xdr:nvCxnSpPr>
        <xdr:cNvPr id="4" name="Straight Connector 3">
          <a:extLst>
            <a:ext uri="{FF2B5EF4-FFF2-40B4-BE49-F238E27FC236}">
              <a16:creationId xmlns:a16="http://schemas.microsoft.com/office/drawing/2014/main" id="{00000000-0008-0000-1900-000004000000}"/>
            </a:ext>
          </a:extLst>
        </xdr:cNvPr>
        <xdr:cNvCxnSpPr/>
      </xdr:nvCxnSpPr>
      <xdr:spPr bwMode="auto">
        <a:xfrm>
          <a:off x="4972050" y="1911350"/>
          <a:ext cx="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590550</xdr:colOff>
      <xdr:row>11</xdr:row>
      <xdr:rowOff>152400</xdr:rowOff>
    </xdr:from>
    <xdr:to>
      <xdr:col>9</xdr:col>
      <xdr:colOff>603250</xdr:colOff>
      <xdr:row>12</xdr:row>
      <xdr:rowOff>146050</xdr:rowOff>
    </xdr:to>
    <xdr:cxnSp macro="">
      <xdr:nvCxnSpPr>
        <xdr:cNvPr id="5" name="Straight Connector 4">
          <a:extLst>
            <a:ext uri="{FF2B5EF4-FFF2-40B4-BE49-F238E27FC236}">
              <a16:creationId xmlns:a16="http://schemas.microsoft.com/office/drawing/2014/main" id="{00000000-0008-0000-1900-000005000000}"/>
            </a:ext>
          </a:extLst>
        </xdr:cNvPr>
        <xdr:cNvCxnSpPr/>
      </xdr:nvCxnSpPr>
      <xdr:spPr bwMode="auto">
        <a:xfrm>
          <a:off x="6261100" y="1898650"/>
          <a:ext cx="1270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7</xdr:col>
      <xdr:colOff>139700</xdr:colOff>
      <xdr:row>8</xdr:row>
      <xdr:rowOff>0</xdr:rowOff>
    </xdr:from>
    <xdr:to>
      <xdr:col>7</xdr:col>
      <xdr:colOff>139700</xdr:colOff>
      <xdr:row>12</xdr:row>
      <xdr:rowOff>107950</xdr:rowOff>
    </xdr:to>
    <xdr:cxnSp macro="">
      <xdr:nvCxnSpPr>
        <xdr:cNvPr id="6" name="Straight Arrow Connector 5">
          <a:extLst>
            <a:ext uri="{FF2B5EF4-FFF2-40B4-BE49-F238E27FC236}">
              <a16:creationId xmlns:a16="http://schemas.microsoft.com/office/drawing/2014/main" id="{00000000-0008-0000-1900-000006000000}"/>
            </a:ext>
          </a:extLst>
        </xdr:cNvPr>
        <xdr:cNvCxnSpPr/>
      </xdr:nvCxnSpPr>
      <xdr:spPr bwMode="auto">
        <a:xfrm flipV="1">
          <a:off x="4972050" y="1270000"/>
          <a:ext cx="0" cy="742950"/>
        </a:xfrm>
        <a:prstGeom prst="straightConnector1">
          <a:avLst/>
        </a:prstGeom>
        <a:solidFill>
          <a:srgbClr val="FFFFFF"/>
        </a:solidFill>
        <a:ln w="38100" cap="flat" cmpd="sng" algn="ctr">
          <a:solidFill>
            <a:srgbClr val="000000"/>
          </a:solidFill>
          <a:prstDash val="sysDash"/>
          <a:round/>
          <a:headEnd type="none" w="med" len="med"/>
          <a:tailEnd type="triangle"/>
        </a:ln>
        <a:effectLst/>
      </xdr:spPr>
    </xdr:cxnSp>
    <xdr:clientData/>
  </xdr:twoCellAnchor>
  <xdr:twoCellAnchor>
    <xdr:from>
      <xdr:col>9</xdr:col>
      <xdr:colOff>615950</xdr:colOff>
      <xdr:row>7</xdr:row>
      <xdr:rowOff>139700</xdr:rowOff>
    </xdr:from>
    <xdr:to>
      <xdr:col>9</xdr:col>
      <xdr:colOff>615950</xdr:colOff>
      <xdr:row>12</xdr:row>
      <xdr:rowOff>88900</xdr:rowOff>
    </xdr:to>
    <xdr:cxnSp macro="">
      <xdr:nvCxnSpPr>
        <xdr:cNvPr id="7" name="Straight Arrow Connector 6">
          <a:extLst>
            <a:ext uri="{FF2B5EF4-FFF2-40B4-BE49-F238E27FC236}">
              <a16:creationId xmlns:a16="http://schemas.microsoft.com/office/drawing/2014/main" id="{00000000-0008-0000-1900-000007000000}"/>
            </a:ext>
          </a:extLst>
        </xdr:cNvPr>
        <xdr:cNvCxnSpPr/>
      </xdr:nvCxnSpPr>
      <xdr:spPr bwMode="auto">
        <a:xfrm flipV="1">
          <a:off x="6286500" y="1250950"/>
          <a:ext cx="0" cy="742950"/>
        </a:xfrm>
        <a:prstGeom prst="straightConnector1">
          <a:avLst/>
        </a:prstGeom>
        <a:solidFill>
          <a:srgbClr val="FFFFFF"/>
        </a:solidFill>
        <a:ln w="38100" cap="flat" cmpd="sng" algn="ctr">
          <a:solidFill>
            <a:srgbClr val="FF0000"/>
          </a:solidFill>
          <a:prstDash val="lgDash"/>
          <a:round/>
          <a:headEnd type="none" w="med" len="med"/>
          <a:tailEnd type="triangle"/>
        </a:ln>
        <a:effectLst/>
      </xdr:spPr>
    </xdr:cxnSp>
    <xdr:clientData/>
  </xdr:twoCellAnchor>
  <xdr:twoCellAnchor>
    <xdr:from>
      <xdr:col>5</xdr:col>
      <xdr:colOff>203200</xdr:colOff>
      <xdr:row>9</xdr:row>
      <xdr:rowOff>50800</xdr:rowOff>
    </xdr:from>
    <xdr:to>
      <xdr:col>6</xdr:col>
      <xdr:colOff>0</xdr:colOff>
      <xdr:row>12</xdr:row>
      <xdr:rowOff>107950</xdr:rowOff>
    </xdr:to>
    <xdr:cxnSp macro="">
      <xdr:nvCxnSpPr>
        <xdr:cNvPr id="8" name="Straight Arrow Connector 7">
          <a:extLst>
            <a:ext uri="{FF2B5EF4-FFF2-40B4-BE49-F238E27FC236}">
              <a16:creationId xmlns:a16="http://schemas.microsoft.com/office/drawing/2014/main" id="{00000000-0008-0000-1900-000008000000}"/>
            </a:ext>
          </a:extLst>
        </xdr:cNvPr>
        <xdr:cNvCxnSpPr/>
      </xdr:nvCxnSpPr>
      <xdr:spPr bwMode="auto">
        <a:xfrm flipV="1">
          <a:off x="3752850" y="1479550"/>
          <a:ext cx="12700" cy="533400"/>
        </a:xfrm>
        <a:prstGeom prst="straightConnector1">
          <a:avLst/>
        </a:prstGeom>
        <a:solidFill>
          <a:srgbClr val="FFFFFF"/>
        </a:solidFill>
        <a:ln w="38100" cap="flat" cmpd="sng" algn="ctr">
          <a:solidFill>
            <a:srgbClr val="000000"/>
          </a:solidFill>
          <a:prstDash val="sysDash"/>
          <a:round/>
          <a:headEnd type="none" w="med" len="med"/>
          <a:tailEnd type="triangle"/>
        </a:ln>
        <a:effectLst/>
      </xdr:spPr>
    </xdr:cxnSp>
    <xdr:clientData/>
  </xdr:twoCellAnchor>
  <xdr:twoCellAnchor>
    <xdr:from>
      <xdr:col>5</xdr:col>
      <xdr:colOff>120650</xdr:colOff>
      <xdr:row>10</xdr:row>
      <xdr:rowOff>44450</xdr:rowOff>
    </xdr:from>
    <xdr:to>
      <xdr:col>5</xdr:col>
      <xdr:colOff>127000</xdr:colOff>
      <xdr:row>13</xdr:row>
      <xdr:rowOff>6350</xdr:rowOff>
    </xdr:to>
    <xdr:cxnSp macro="">
      <xdr:nvCxnSpPr>
        <xdr:cNvPr id="9" name="Straight Arrow Connector 8">
          <a:extLst>
            <a:ext uri="{FF2B5EF4-FFF2-40B4-BE49-F238E27FC236}">
              <a16:creationId xmlns:a16="http://schemas.microsoft.com/office/drawing/2014/main" id="{00000000-0008-0000-1900-000009000000}"/>
            </a:ext>
          </a:extLst>
        </xdr:cNvPr>
        <xdr:cNvCxnSpPr/>
      </xdr:nvCxnSpPr>
      <xdr:spPr bwMode="auto">
        <a:xfrm flipV="1">
          <a:off x="3670300" y="1631950"/>
          <a:ext cx="6350" cy="438150"/>
        </a:xfrm>
        <a:prstGeom prst="straightConnector1">
          <a:avLst/>
        </a:prstGeom>
        <a:solidFill>
          <a:srgbClr val="FFFFFF"/>
        </a:solidFill>
        <a:ln w="38100" cap="flat" cmpd="sng" algn="ctr">
          <a:solidFill>
            <a:srgbClr val="FF0000"/>
          </a:solidFill>
          <a:prstDash val="lgDash"/>
          <a:round/>
          <a:headEnd type="none" w="med" len="med"/>
          <a:tailEnd type="triangle"/>
        </a:ln>
        <a:effectLst/>
      </xdr:spPr>
    </xdr:cxnSp>
    <xdr:clientData/>
  </xdr:twoCellAnchor>
  <xdr:twoCellAnchor>
    <xdr:from>
      <xdr:col>10</xdr:col>
      <xdr:colOff>57150</xdr:colOff>
      <xdr:row>7</xdr:row>
      <xdr:rowOff>114300</xdr:rowOff>
    </xdr:from>
    <xdr:to>
      <xdr:col>10</xdr:col>
      <xdr:colOff>412750</xdr:colOff>
      <xdr:row>9</xdr:row>
      <xdr:rowOff>19050</xdr:rowOff>
    </xdr:to>
    <xdr:sp macro="" textlink="">
      <xdr:nvSpPr>
        <xdr:cNvPr id="10" name="TextBox 9">
          <a:extLst>
            <a:ext uri="{FF2B5EF4-FFF2-40B4-BE49-F238E27FC236}">
              <a16:creationId xmlns:a16="http://schemas.microsoft.com/office/drawing/2014/main" id="{00000000-0008-0000-1900-00000A000000}"/>
            </a:ext>
          </a:extLst>
        </xdr:cNvPr>
        <xdr:cNvSpPr txBox="1"/>
      </xdr:nvSpPr>
      <xdr:spPr>
        <a:xfrm>
          <a:off x="6369050" y="1225550"/>
          <a:ext cx="35560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$1</a:t>
          </a:r>
        </a:p>
      </xdr:txBody>
    </xdr:sp>
    <xdr:clientData/>
  </xdr:twoCellAnchor>
  <xdr:twoCellAnchor>
    <xdr:from>
      <xdr:col>8</xdr:col>
      <xdr:colOff>6350</xdr:colOff>
      <xdr:row>8</xdr:row>
      <xdr:rowOff>152400</xdr:rowOff>
    </xdr:from>
    <xdr:to>
      <xdr:col>8</xdr:col>
      <xdr:colOff>368300</xdr:colOff>
      <xdr:row>10</xdr:row>
      <xdr:rowOff>57150</xdr:rowOff>
    </xdr:to>
    <xdr:sp macro="" textlink="">
      <xdr:nvSpPr>
        <xdr:cNvPr id="11" name="TextBox 10">
          <a:extLst>
            <a:ext uri="{FF2B5EF4-FFF2-40B4-BE49-F238E27FC236}">
              <a16:creationId xmlns:a16="http://schemas.microsoft.com/office/drawing/2014/main" id="{00000000-0008-0000-1900-00000B000000}"/>
            </a:ext>
          </a:extLst>
        </xdr:cNvPr>
        <xdr:cNvSpPr txBox="1"/>
      </xdr:nvSpPr>
      <xdr:spPr>
        <a:xfrm>
          <a:off x="5035550" y="1422400"/>
          <a:ext cx="36195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$1</a:t>
          </a:r>
        </a:p>
      </xdr:txBody>
    </xdr:sp>
    <xdr:clientData/>
  </xdr:twoCellAnchor>
  <xdr:twoCellAnchor>
    <xdr:from>
      <xdr:col>6</xdr:col>
      <xdr:colOff>69850</xdr:colOff>
      <xdr:row>10</xdr:row>
      <xdr:rowOff>107950</xdr:rowOff>
    </xdr:from>
    <xdr:to>
      <xdr:col>6</xdr:col>
      <xdr:colOff>590550</xdr:colOff>
      <xdr:row>12</xdr:row>
      <xdr:rowOff>0</xdr:rowOff>
    </xdr:to>
    <xdr:sp macro="" textlink="">
      <xdr:nvSpPr>
        <xdr:cNvPr id="12" name="TextBox 11">
          <a:extLst>
            <a:ext uri="{FF2B5EF4-FFF2-40B4-BE49-F238E27FC236}">
              <a16:creationId xmlns:a16="http://schemas.microsoft.com/office/drawing/2014/main" id="{00000000-0008-0000-1900-00000C000000}"/>
            </a:ext>
          </a:extLst>
        </xdr:cNvPr>
        <xdr:cNvSpPr txBox="1"/>
      </xdr:nvSpPr>
      <xdr:spPr>
        <a:xfrm>
          <a:off x="3835400" y="1695450"/>
          <a:ext cx="5207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$0.97</a:t>
          </a:r>
        </a:p>
      </xdr:txBody>
    </xdr:sp>
    <xdr:clientData/>
  </xdr:twoCellAnchor>
  <xdr:twoCellAnchor>
    <xdr:from>
      <xdr:col>4</xdr:col>
      <xdr:colOff>273050</xdr:colOff>
      <xdr:row>10</xdr:row>
      <xdr:rowOff>146050</xdr:rowOff>
    </xdr:from>
    <xdr:to>
      <xdr:col>5</xdr:col>
      <xdr:colOff>57150</xdr:colOff>
      <xdr:row>12</xdr:row>
      <xdr:rowOff>38100</xdr:rowOff>
    </xdr:to>
    <xdr:sp macro="" textlink="">
      <xdr:nvSpPr>
        <xdr:cNvPr id="13" name="TextBox 12">
          <a:extLst>
            <a:ext uri="{FF2B5EF4-FFF2-40B4-BE49-F238E27FC236}">
              <a16:creationId xmlns:a16="http://schemas.microsoft.com/office/drawing/2014/main" id="{00000000-0008-0000-1900-00000D000000}"/>
            </a:ext>
          </a:extLst>
        </xdr:cNvPr>
        <xdr:cNvSpPr txBox="1"/>
      </xdr:nvSpPr>
      <xdr:spPr>
        <a:xfrm>
          <a:off x="3086100" y="1733550"/>
          <a:ext cx="5207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$0.87</a:t>
          </a:r>
        </a:p>
      </xdr:txBody>
    </xdr:sp>
    <xdr:clientData/>
  </xdr:twoCellAnchor>
  <xdr:twoCellAnchor>
    <xdr:from>
      <xdr:col>8</xdr:col>
      <xdr:colOff>57150</xdr:colOff>
      <xdr:row>13</xdr:row>
      <xdr:rowOff>19050</xdr:rowOff>
    </xdr:from>
    <xdr:to>
      <xdr:col>9</xdr:col>
      <xdr:colOff>590550</xdr:colOff>
      <xdr:row>16</xdr:row>
      <xdr:rowOff>101600</xdr:rowOff>
    </xdr:to>
    <xdr:cxnSp macro="">
      <xdr:nvCxnSpPr>
        <xdr:cNvPr id="14" name="Connector: Curved 13">
          <a:extLst>
            <a:ext uri="{FF2B5EF4-FFF2-40B4-BE49-F238E27FC236}">
              <a16:creationId xmlns:a16="http://schemas.microsoft.com/office/drawing/2014/main" id="{00000000-0008-0000-1900-00000E000000}"/>
            </a:ext>
          </a:extLst>
        </xdr:cNvPr>
        <xdr:cNvCxnSpPr/>
      </xdr:nvCxnSpPr>
      <xdr:spPr bwMode="auto">
        <a:xfrm rot="10800000" flipV="1">
          <a:off x="5086350" y="2082800"/>
          <a:ext cx="1174750" cy="558800"/>
        </a:xfrm>
        <a:prstGeom prst="curvedConnector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5</xdr:col>
      <xdr:colOff>184150</xdr:colOff>
      <xdr:row>13</xdr:row>
      <xdr:rowOff>31750</xdr:rowOff>
    </xdr:from>
    <xdr:to>
      <xdr:col>8</xdr:col>
      <xdr:colOff>82550</xdr:colOff>
      <xdr:row>16</xdr:row>
      <xdr:rowOff>95250</xdr:rowOff>
    </xdr:to>
    <xdr:cxnSp macro="">
      <xdr:nvCxnSpPr>
        <xdr:cNvPr id="15" name="Connector: Curved 14">
          <a:extLst>
            <a:ext uri="{FF2B5EF4-FFF2-40B4-BE49-F238E27FC236}">
              <a16:creationId xmlns:a16="http://schemas.microsoft.com/office/drawing/2014/main" id="{00000000-0008-0000-1900-00000F000000}"/>
            </a:ext>
          </a:extLst>
        </xdr:cNvPr>
        <xdr:cNvCxnSpPr/>
      </xdr:nvCxnSpPr>
      <xdr:spPr bwMode="auto">
        <a:xfrm rot="10800000">
          <a:off x="3733800" y="2095500"/>
          <a:ext cx="1377950" cy="539750"/>
        </a:xfrm>
        <a:prstGeom prst="curvedConnector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xdr:col>
      <xdr:colOff>50800</xdr:colOff>
      <xdr:row>8</xdr:row>
      <xdr:rowOff>76200</xdr:rowOff>
    </xdr:from>
    <xdr:to>
      <xdr:col>7</xdr:col>
      <xdr:colOff>31750</xdr:colOff>
      <xdr:row>9</xdr:row>
      <xdr:rowOff>38100</xdr:rowOff>
    </xdr:to>
    <xdr:cxnSp macro="">
      <xdr:nvCxnSpPr>
        <xdr:cNvPr id="16" name="Connector: Curved 15">
          <a:extLst>
            <a:ext uri="{FF2B5EF4-FFF2-40B4-BE49-F238E27FC236}">
              <a16:creationId xmlns:a16="http://schemas.microsoft.com/office/drawing/2014/main" id="{00000000-0008-0000-1900-000010000000}"/>
            </a:ext>
          </a:extLst>
        </xdr:cNvPr>
        <xdr:cNvCxnSpPr/>
      </xdr:nvCxnSpPr>
      <xdr:spPr bwMode="auto">
        <a:xfrm rot="10800000" flipV="1">
          <a:off x="3816350" y="1346200"/>
          <a:ext cx="1047750" cy="120650"/>
        </a:xfrm>
        <a:prstGeom prst="curvedConnector3">
          <a:avLst>
            <a:gd name="adj1" fmla="val 50000"/>
          </a:avLst>
        </a:prstGeom>
        <a:solidFill>
          <a:srgbClr val="FFFFFF"/>
        </a:solidFill>
        <a:ln w="9525" cap="flat" cmpd="sng" algn="ctr">
          <a:solidFill>
            <a:sysClr val="windowText" lastClr="000000"/>
          </a:solidFill>
          <a:prstDash val="solid"/>
          <a:round/>
          <a:headEnd type="none" w="med" len="med"/>
          <a:tailEnd type="triangle"/>
        </a:ln>
        <a:effec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152400</xdr:colOff>
      <xdr:row>12</xdr:row>
      <xdr:rowOff>107950</xdr:rowOff>
    </xdr:from>
    <xdr:to>
      <xdr:col>10</xdr:col>
      <xdr:colOff>165100</xdr:colOff>
      <xdr:row>12</xdr:row>
      <xdr:rowOff>114300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bwMode="auto">
        <a:xfrm flipV="1">
          <a:off x="3702050" y="2012950"/>
          <a:ext cx="2774950" cy="6350"/>
        </a:xfrm>
        <a:prstGeom prst="straightConnector1">
          <a:avLst/>
        </a:prstGeom>
        <a:solidFill>
          <a:srgbClr val="FFFFFF"/>
        </a:solidFill>
        <a:ln w="38100" cap="flat" cmpd="sng" algn="ctr">
          <a:solidFill>
            <a:srgbClr val="000000"/>
          </a:solidFill>
          <a:prstDash val="solid"/>
          <a:round/>
          <a:headEnd type="none" w="med" len="med"/>
          <a:tailEnd type="triangle"/>
        </a:ln>
        <a:effectLst/>
      </xdr:spPr>
    </xdr:cxnSp>
    <xdr:clientData/>
  </xdr:twoCellAnchor>
  <xdr:twoCellAnchor>
    <xdr:from>
      <xdr:col>5</xdr:col>
      <xdr:colOff>152400</xdr:colOff>
      <xdr:row>12</xdr:row>
      <xdr:rowOff>19050</xdr:rowOff>
    </xdr:from>
    <xdr:to>
      <xdr:col>5</xdr:col>
      <xdr:colOff>165100</xdr:colOff>
      <xdr:row>13</xdr:row>
      <xdr:rowOff>12700</xdr:rowOff>
    </xdr:to>
    <xdr:cxnSp macro="">
      <xdr:nvCxnSpPr>
        <xdr:cNvPr id="3" name="Straight Connector 2">
          <a:extLst>
            <a:ext uri="{FF2B5EF4-FFF2-40B4-BE49-F238E27FC236}">
              <a16:creationId xmlns:a16="http://schemas.microsoft.com/office/drawing/2014/main" id="{00000000-0008-0000-1A00-000003000000}"/>
            </a:ext>
          </a:extLst>
        </xdr:cNvPr>
        <xdr:cNvCxnSpPr/>
      </xdr:nvCxnSpPr>
      <xdr:spPr bwMode="auto">
        <a:xfrm>
          <a:off x="3702050" y="1924050"/>
          <a:ext cx="1270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7</xdr:col>
      <xdr:colOff>139700</xdr:colOff>
      <xdr:row>12</xdr:row>
      <xdr:rowOff>6350</xdr:rowOff>
    </xdr:from>
    <xdr:to>
      <xdr:col>7</xdr:col>
      <xdr:colOff>139700</xdr:colOff>
      <xdr:row>13</xdr:row>
      <xdr:rowOff>0</xdr:rowOff>
    </xdr:to>
    <xdr:cxnSp macro="">
      <xdr:nvCxnSpPr>
        <xdr:cNvPr id="4" name="Straight Connector 3">
          <a:extLst>
            <a:ext uri="{FF2B5EF4-FFF2-40B4-BE49-F238E27FC236}">
              <a16:creationId xmlns:a16="http://schemas.microsoft.com/office/drawing/2014/main" id="{00000000-0008-0000-1A00-000004000000}"/>
            </a:ext>
          </a:extLst>
        </xdr:cNvPr>
        <xdr:cNvCxnSpPr/>
      </xdr:nvCxnSpPr>
      <xdr:spPr bwMode="auto">
        <a:xfrm>
          <a:off x="4972050" y="1911350"/>
          <a:ext cx="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590550</xdr:colOff>
      <xdr:row>11</xdr:row>
      <xdr:rowOff>152400</xdr:rowOff>
    </xdr:from>
    <xdr:to>
      <xdr:col>9</xdr:col>
      <xdr:colOff>603250</xdr:colOff>
      <xdr:row>12</xdr:row>
      <xdr:rowOff>146050</xdr:rowOff>
    </xdr:to>
    <xdr:cxnSp macro="">
      <xdr:nvCxnSpPr>
        <xdr:cNvPr id="5" name="Straight Connector 4">
          <a:extLst>
            <a:ext uri="{FF2B5EF4-FFF2-40B4-BE49-F238E27FC236}">
              <a16:creationId xmlns:a16="http://schemas.microsoft.com/office/drawing/2014/main" id="{00000000-0008-0000-1A00-000005000000}"/>
            </a:ext>
          </a:extLst>
        </xdr:cNvPr>
        <xdr:cNvCxnSpPr/>
      </xdr:nvCxnSpPr>
      <xdr:spPr bwMode="auto">
        <a:xfrm>
          <a:off x="6261100" y="1898650"/>
          <a:ext cx="1270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615950</xdr:colOff>
      <xdr:row>7</xdr:row>
      <xdr:rowOff>139700</xdr:rowOff>
    </xdr:from>
    <xdr:to>
      <xdr:col>9</xdr:col>
      <xdr:colOff>615950</xdr:colOff>
      <xdr:row>12</xdr:row>
      <xdr:rowOff>88900</xdr:rowOff>
    </xdr:to>
    <xdr:cxnSp macro="">
      <xdr:nvCxnSpPr>
        <xdr:cNvPr id="6" name="Straight Arrow Connector 5">
          <a:extLst>
            <a:ext uri="{FF2B5EF4-FFF2-40B4-BE49-F238E27FC236}">
              <a16:creationId xmlns:a16="http://schemas.microsoft.com/office/drawing/2014/main" id="{00000000-0008-0000-1A00-000006000000}"/>
            </a:ext>
          </a:extLst>
        </xdr:cNvPr>
        <xdr:cNvCxnSpPr/>
      </xdr:nvCxnSpPr>
      <xdr:spPr bwMode="auto">
        <a:xfrm flipV="1">
          <a:off x="6286500" y="1250950"/>
          <a:ext cx="0" cy="742950"/>
        </a:xfrm>
        <a:prstGeom prst="straightConnector1">
          <a:avLst/>
        </a:prstGeom>
        <a:solidFill>
          <a:srgbClr val="FFFFFF"/>
        </a:solidFill>
        <a:ln w="38100" cap="flat" cmpd="sng" algn="ctr">
          <a:solidFill>
            <a:srgbClr val="FF0000"/>
          </a:solidFill>
          <a:prstDash val="lgDash"/>
          <a:round/>
          <a:headEnd type="none" w="med" len="med"/>
          <a:tailEnd type="triangle"/>
        </a:ln>
        <a:effectLst/>
      </xdr:spPr>
    </xdr:cxnSp>
    <xdr:clientData/>
  </xdr:twoCellAnchor>
  <xdr:twoCellAnchor>
    <xdr:from>
      <xdr:col>5</xdr:col>
      <xdr:colOff>120650</xdr:colOff>
      <xdr:row>10</xdr:row>
      <xdr:rowOff>44450</xdr:rowOff>
    </xdr:from>
    <xdr:to>
      <xdr:col>5</xdr:col>
      <xdr:colOff>127000</xdr:colOff>
      <xdr:row>13</xdr:row>
      <xdr:rowOff>6350</xdr:rowOff>
    </xdr:to>
    <xdr:cxnSp macro="">
      <xdr:nvCxnSpPr>
        <xdr:cNvPr id="7" name="Straight Arrow Connector 6">
          <a:extLst>
            <a:ext uri="{FF2B5EF4-FFF2-40B4-BE49-F238E27FC236}">
              <a16:creationId xmlns:a16="http://schemas.microsoft.com/office/drawing/2014/main" id="{00000000-0008-0000-1A00-000007000000}"/>
            </a:ext>
          </a:extLst>
        </xdr:cNvPr>
        <xdr:cNvCxnSpPr/>
      </xdr:nvCxnSpPr>
      <xdr:spPr bwMode="auto">
        <a:xfrm flipV="1">
          <a:off x="3670300" y="1631950"/>
          <a:ext cx="6350" cy="438150"/>
        </a:xfrm>
        <a:prstGeom prst="straightConnector1">
          <a:avLst/>
        </a:prstGeom>
        <a:solidFill>
          <a:srgbClr val="FFFFFF"/>
        </a:solidFill>
        <a:ln w="38100" cap="flat" cmpd="sng" algn="ctr">
          <a:solidFill>
            <a:srgbClr val="FF0000"/>
          </a:solidFill>
          <a:prstDash val="lgDash"/>
          <a:round/>
          <a:headEnd type="none" w="med" len="med"/>
          <a:tailEnd type="triangle"/>
        </a:ln>
        <a:effectLst/>
      </xdr:spPr>
    </xdr:cxnSp>
    <xdr:clientData/>
  </xdr:twoCellAnchor>
  <xdr:twoCellAnchor>
    <xdr:from>
      <xdr:col>10</xdr:col>
      <xdr:colOff>57150</xdr:colOff>
      <xdr:row>7</xdr:row>
      <xdr:rowOff>114300</xdr:rowOff>
    </xdr:from>
    <xdr:to>
      <xdr:col>10</xdr:col>
      <xdr:colOff>412750</xdr:colOff>
      <xdr:row>9</xdr:row>
      <xdr:rowOff>19050</xdr:rowOff>
    </xdr:to>
    <xdr:sp macro="" textlink="">
      <xdr:nvSpPr>
        <xdr:cNvPr id="8" name="TextBox 7">
          <a:extLst>
            <a:ext uri="{FF2B5EF4-FFF2-40B4-BE49-F238E27FC236}">
              <a16:creationId xmlns:a16="http://schemas.microsoft.com/office/drawing/2014/main" id="{00000000-0008-0000-1A00-000008000000}"/>
            </a:ext>
          </a:extLst>
        </xdr:cNvPr>
        <xdr:cNvSpPr txBox="1"/>
      </xdr:nvSpPr>
      <xdr:spPr>
        <a:xfrm>
          <a:off x="6369050" y="1225550"/>
          <a:ext cx="35560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$1</a:t>
          </a:r>
        </a:p>
      </xdr:txBody>
    </xdr:sp>
    <xdr:clientData/>
  </xdr:twoCellAnchor>
  <xdr:twoCellAnchor>
    <xdr:from>
      <xdr:col>6</xdr:col>
      <xdr:colOff>69850</xdr:colOff>
      <xdr:row>10</xdr:row>
      <xdr:rowOff>107950</xdr:rowOff>
    </xdr:from>
    <xdr:to>
      <xdr:col>6</xdr:col>
      <xdr:colOff>590550</xdr:colOff>
      <xdr:row>12</xdr:row>
      <xdr:rowOff>0</xdr:rowOff>
    </xdr:to>
    <xdr:sp macro="" textlink="">
      <xdr:nvSpPr>
        <xdr:cNvPr id="9" name="TextBox 8">
          <a:extLst>
            <a:ext uri="{FF2B5EF4-FFF2-40B4-BE49-F238E27FC236}">
              <a16:creationId xmlns:a16="http://schemas.microsoft.com/office/drawing/2014/main" id="{00000000-0008-0000-1A00-000009000000}"/>
            </a:ext>
          </a:extLst>
        </xdr:cNvPr>
        <xdr:cNvSpPr txBox="1"/>
      </xdr:nvSpPr>
      <xdr:spPr>
        <a:xfrm>
          <a:off x="3835400" y="1695450"/>
          <a:ext cx="5207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$0.97</a:t>
          </a:r>
        </a:p>
      </xdr:txBody>
    </xdr:sp>
    <xdr:clientData/>
  </xdr:twoCellAnchor>
  <xdr:twoCellAnchor>
    <xdr:from>
      <xdr:col>8</xdr:col>
      <xdr:colOff>57150</xdr:colOff>
      <xdr:row>13</xdr:row>
      <xdr:rowOff>19050</xdr:rowOff>
    </xdr:from>
    <xdr:to>
      <xdr:col>9</xdr:col>
      <xdr:colOff>590550</xdr:colOff>
      <xdr:row>16</xdr:row>
      <xdr:rowOff>101600</xdr:rowOff>
    </xdr:to>
    <xdr:cxnSp macro="">
      <xdr:nvCxnSpPr>
        <xdr:cNvPr id="10" name="Connector: Curved 9">
          <a:extLst>
            <a:ext uri="{FF2B5EF4-FFF2-40B4-BE49-F238E27FC236}">
              <a16:creationId xmlns:a16="http://schemas.microsoft.com/office/drawing/2014/main" id="{00000000-0008-0000-1A00-00000A000000}"/>
            </a:ext>
          </a:extLst>
        </xdr:cNvPr>
        <xdr:cNvCxnSpPr/>
      </xdr:nvCxnSpPr>
      <xdr:spPr bwMode="auto">
        <a:xfrm rot="10800000" flipV="1">
          <a:off x="5086350" y="2082800"/>
          <a:ext cx="1174750" cy="558800"/>
        </a:xfrm>
        <a:prstGeom prst="curvedConnector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5</xdr:col>
      <xdr:colOff>184150</xdr:colOff>
      <xdr:row>13</xdr:row>
      <xdr:rowOff>31750</xdr:rowOff>
    </xdr:from>
    <xdr:to>
      <xdr:col>8</xdr:col>
      <xdr:colOff>82550</xdr:colOff>
      <xdr:row>16</xdr:row>
      <xdr:rowOff>95250</xdr:rowOff>
    </xdr:to>
    <xdr:cxnSp macro="">
      <xdr:nvCxnSpPr>
        <xdr:cNvPr id="11" name="Connector: Curved 10">
          <a:extLst>
            <a:ext uri="{FF2B5EF4-FFF2-40B4-BE49-F238E27FC236}">
              <a16:creationId xmlns:a16="http://schemas.microsoft.com/office/drawing/2014/main" id="{00000000-0008-0000-1A00-00000B000000}"/>
            </a:ext>
          </a:extLst>
        </xdr:cNvPr>
        <xdr:cNvCxnSpPr/>
      </xdr:nvCxnSpPr>
      <xdr:spPr bwMode="auto">
        <a:xfrm rot="10800000">
          <a:off x="3733800" y="2095500"/>
          <a:ext cx="1377950" cy="539750"/>
        </a:xfrm>
        <a:prstGeom prst="curvedConnector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7</xdr:col>
      <xdr:colOff>171450</xdr:colOff>
      <xdr:row>5</xdr:row>
      <xdr:rowOff>82550</xdr:rowOff>
    </xdr:from>
    <xdr:to>
      <xdr:col>9</xdr:col>
      <xdr:colOff>514350</xdr:colOff>
      <xdr:row>9</xdr:row>
      <xdr:rowOff>101600</xdr:rowOff>
    </xdr:to>
    <xdr:sp macro="" textlink="">
      <xdr:nvSpPr>
        <xdr:cNvPr id="12" name="Freeform: Shape 11">
          <a:extLst>
            <a:ext uri="{FF2B5EF4-FFF2-40B4-BE49-F238E27FC236}">
              <a16:creationId xmlns:a16="http://schemas.microsoft.com/office/drawing/2014/main" id="{00000000-0008-0000-1A00-00000C000000}"/>
            </a:ext>
          </a:extLst>
        </xdr:cNvPr>
        <xdr:cNvSpPr/>
      </xdr:nvSpPr>
      <xdr:spPr bwMode="auto">
        <a:xfrm>
          <a:off x="5003800" y="876300"/>
          <a:ext cx="1181100" cy="654050"/>
        </a:xfrm>
        <a:custGeom>
          <a:avLst/>
          <a:gdLst>
            <a:gd name="connsiteX0" fmla="*/ 1181100 w 1181100"/>
            <a:gd name="connsiteY0" fmla="*/ 520700 h 654050"/>
            <a:gd name="connsiteX1" fmla="*/ 1168400 w 1181100"/>
            <a:gd name="connsiteY1" fmla="*/ 457200 h 654050"/>
            <a:gd name="connsiteX2" fmla="*/ 1155700 w 1181100"/>
            <a:gd name="connsiteY2" fmla="*/ 419100 h 654050"/>
            <a:gd name="connsiteX3" fmla="*/ 1149350 w 1181100"/>
            <a:gd name="connsiteY3" fmla="*/ 381000 h 654050"/>
            <a:gd name="connsiteX4" fmla="*/ 1136650 w 1181100"/>
            <a:gd name="connsiteY4" fmla="*/ 317500 h 654050"/>
            <a:gd name="connsiteX5" fmla="*/ 1130300 w 1181100"/>
            <a:gd name="connsiteY5" fmla="*/ 285750 h 654050"/>
            <a:gd name="connsiteX6" fmla="*/ 1111250 w 1181100"/>
            <a:gd name="connsiteY6" fmla="*/ 247650 h 654050"/>
            <a:gd name="connsiteX7" fmla="*/ 1092200 w 1181100"/>
            <a:gd name="connsiteY7" fmla="*/ 190500 h 654050"/>
            <a:gd name="connsiteX8" fmla="*/ 1085850 w 1181100"/>
            <a:gd name="connsiteY8" fmla="*/ 171450 h 654050"/>
            <a:gd name="connsiteX9" fmla="*/ 1054100 w 1181100"/>
            <a:gd name="connsiteY9" fmla="*/ 133350 h 654050"/>
            <a:gd name="connsiteX10" fmla="*/ 1041400 w 1181100"/>
            <a:gd name="connsiteY10" fmla="*/ 114300 h 654050"/>
            <a:gd name="connsiteX11" fmla="*/ 1022350 w 1181100"/>
            <a:gd name="connsiteY11" fmla="*/ 95250 h 654050"/>
            <a:gd name="connsiteX12" fmla="*/ 1009650 w 1181100"/>
            <a:gd name="connsiteY12" fmla="*/ 76200 h 654050"/>
            <a:gd name="connsiteX13" fmla="*/ 971550 w 1181100"/>
            <a:gd name="connsiteY13" fmla="*/ 50800 h 654050"/>
            <a:gd name="connsiteX14" fmla="*/ 939800 w 1181100"/>
            <a:gd name="connsiteY14" fmla="*/ 31750 h 654050"/>
            <a:gd name="connsiteX15" fmla="*/ 781050 w 1181100"/>
            <a:gd name="connsiteY15" fmla="*/ 0 h 654050"/>
            <a:gd name="connsiteX16" fmla="*/ 400050 w 1181100"/>
            <a:gd name="connsiteY16" fmla="*/ 6350 h 654050"/>
            <a:gd name="connsiteX17" fmla="*/ 355600 w 1181100"/>
            <a:gd name="connsiteY17" fmla="*/ 19050 h 654050"/>
            <a:gd name="connsiteX18" fmla="*/ 336550 w 1181100"/>
            <a:gd name="connsiteY18" fmla="*/ 31750 h 654050"/>
            <a:gd name="connsiteX19" fmla="*/ 298450 w 1181100"/>
            <a:gd name="connsiteY19" fmla="*/ 44450 h 654050"/>
            <a:gd name="connsiteX20" fmla="*/ 260350 w 1181100"/>
            <a:gd name="connsiteY20" fmla="*/ 63500 h 654050"/>
            <a:gd name="connsiteX21" fmla="*/ 234950 w 1181100"/>
            <a:gd name="connsiteY21" fmla="*/ 88900 h 654050"/>
            <a:gd name="connsiteX22" fmla="*/ 222250 w 1181100"/>
            <a:gd name="connsiteY22" fmla="*/ 107950 h 654050"/>
            <a:gd name="connsiteX23" fmla="*/ 190500 w 1181100"/>
            <a:gd name="connsiteY23" fmla="*/ 120650 h 654050"/>
            <a:gd name="connsiteX24" fmla="*/ 165100 w 1181100"/>
            <a:gd name="connsiteY24" fmla="*/ 165100 h 654050"/>
            <a:gd name="connsiteX25" fmla="*/ 146050 w 1181100"/>
            <a:gd name="connsiteY25" fmla="*/ 184150 h 654050"/>
            <a:gd name="connsiteX26" fmla="*/ 127000 w 1181100"/>
            <a:gd name="connsiteY26" fmla="*/ 190500 h 654050"/>
            <a:gd name="connsiteX27" fmla="*/ 120650 w 1181100"/>
            <a:gd name="connsiteY27" fmla="*/ 209550 h 654050"/>
            <a:gd name="connsiteX28" fmla="*/ 95250 w 1181100"/>
            <a:gd name="connsiteY28" fmla="*/ 247650 h 654050"/>
            <a:gd name="connsiteX29" fmla="*/ 76200 w 1181100"/>
            <a:gd name="connsiteY29" fmla="*/ 298450 h 654050"/>
            <a:gd name="connsiteX30" fmla="*/ 63500 w 1181100"/>
            <a:gd name="connsiteY30" fmla="*/ 349250 h 654050"/>
            <a:gd name="connsiteX31" fmla="*/ 57150 w 1181100"/>
            <a:gd name="connsiteY31" fmla="*/ 381000 h 654050"/>
            <a:gd name="connsiteX32" fmla="*/ 44450 w 1181100"/>
            <a:gd name="connsiteY32" fmla="*/ 406400 h 654050"/>
            <a:gd name="connsiteX33" fmla="*/ 31750 w 1181100"/>
            <a:gd name="connsiteY33" fmla="*/ 463550 h 654050"/>
            <a:gd name="connsiteX34" fmla="*/ 19050 w 1181100"/>
            <a:gd name="connsiteY34" fmla="*/ 495300 h 654050"/>
            <a:gd name="connsiteX35" fmla="*/ 6350 w 1181100"/>
            <a:gd name="connsiteY35" fmla="*/ 552450 h 654050"/>
            <a:gd name="connsiteX36" fmla="*/ 0 w 1181100"/>
            <a:gd name="connsiteY36" fmla="*/ 571500 h 654050"/>
            <a:gd name="connsiteX37" fmla="*/ 6350 w 1181100"/>
            <a:gd name="connsiteY37" fmla="*/ 654050 h 654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1181100" h="654050">
              <a:moveTo>
                <a:pt x="1181100" y="520700"/>
              </a:moveTo>
              <a:cubicBezTo>
                <a:pt x="1176867" y="499533"/>
                <a:pt x="1175226" y="477678"/>
                <a:pt x="1168400" y="457200"/>
              </a:cubicBezTo>
              <a:cubicBezTo>
                <a:pt x="1164167" y="444500"/>
                <a:pt x="1158947" y="432087"/>
                <a:pt x="1155700" y="419100"/>
              </a:cubicBezTo>
              <a:cubicBezTo>
                <a:pt x="1152577" y="406609"/>
                <a:pt x="1151723" y="393655"/>
                <a:pt x="1149350" y="381000"/>
              </a:cubicBezTo>
              <a:cubicBezTo>
                <a:pt x="1145372" y="359784"/>
                <a:pt x="1140883" y="338667"/>
                <a:pt x="1136650" y="317500"/>
              </a:cubicBezTo>
              <a:cubicBezTo>
                <a:pt x="1134533" y="306917"/>
                <a:pt x="1135127" y="295403"/>
                <a:pt x="1130300" y="285750"/>
              </a:cubicBezTo>
              <a:cubicBezTo>
                <a:pt x="1123950" y="273050"/>
                <a:pt x="1116711" y="260757"/>
                <a:pt x="1111250" y="247650"/>
              </a:cubicBezTo>
              <a:lnTo>
                <a:pt x="1092200" y="190500"/>
              </a:lnTo>
              <a:cubicBezTo>
                <a:pt x="1090083" y="184150"/>
                <a:pt x="1089563" y="177019"/>
                <a:pt x="1085850" y="171450"/>
              </a:cubicBezTo>
              <a:cubicBezTo>
                <a:pt x="1054318" y="124152"/>
                <a:pt x="1094844" y="182243"/>
                <a:pt x="1054100" y="133350"/>
              </a:cubicBezTo>
              <a:cubicBezTo>
                <a:pt x="1049214" y="127487"/>
                <a:pt x="1046286" y="120163"/>
                <a:pt x="1041400" y="114300"/>
              </a:cubicBezTo>
              <a:cubicBezTo>
                <a:pt x="1035651" y="107401"/>
                <a:pt x="1028099" y="102149"/>
                <a:pt x="1022350" y="95250"/>
              </a:cubicBezTo>
              <a:cubicBezTo>
                <a:pt x="1017464" y="89387"/>
                <a:pt x="1015393" y="81226"/>
                <a:pt x="1009650" y="76200"/>
              </a:cubicBezTo>
              <a:cubicBezTo>
                <a:pt x="998163" y="66149"/>
                <a:pt x="984427" y="58995"/>
                <a:pt x="971550" y="50800"/>
              </a:cubicBezTo>
              <a:cubicBezTo>
                <a:pt x="961137" y="44174"/>
                <a:pt x="951814" y="34577"/>
                <a:pt x="939800" y="31750"/>
              </a:cubicBezTo>
              <a:cubicBezTo>
                <a:pt x="815239" y="2441"/>
                <a:pt x="868531" y="10935"/>
                <a:pt x="781050" y="0"/>
              </a:cubicBezTo>
              <a:lnTo>
                <a:pt x="400050" y="6350"/>
              </a:lnTo>
              <a:cubicBezTo>
                <a:pt x="395710" y="6486"/>
                <a:pt x="361797" y="15952"/>
                <a:pt x="355600" y="19050"/>
              </a:cubicBezTo>
              <a:cubicBezTo>
                <a:pt x="348774" y="22463"/>
                <a:pt x="343524" y="28650"/>
                <a:pt x="336550" y="31750"/>
              </a:cubicBezTo>
              <a:cubicBezTo>
                <a:pt x="324317" y="37187"/>
                <a:pt x="309589" y="37024"/>
                <a:pt x="298450" y="44450"/>
              </a:cubicBezTo>
              <a:cubicBezTo>
                <a:pt x="273831" y="60863"/>
                <a:pt x="286640" y="54737"/>
                <a:pt x="260350" y="63500"/>
              </a:cubicBezTo>
              <a:cubicBezTo>
                <a:pt x="251883" y="71967"/>
                <a:pt x="242742" y="79809"/>
                <a:pt x="234950" y="88900"/>
              </a:cubicBezTo>
              <a:cubicBezTo>
                <a:pt x="229983" y="94694"/>
                <a:pt x="228460" y="103514"/>
                <a:pt x="222250" y="107950"/>
              </a:cubicBezTo>
              <a:cubicBezTo>
                <a:pt x="212975" y="114575"/>
                <a:pt x="201083" y="116417"/>
                <a:pt x="190500" y="120650"/>
              </a:cubicBezTo>
              <a:cubicBezTo>
                <a:pt x="182736" y="136177"/>
                <a:pt x="176319" y="151637"/>
                <a:pt x="165100" y="165100"/>
              </a:cubicBezTo>
              <a:cubicBezTo>
                <a:pt x="159351" y="171999"/>
                <a:pt x="153522" y="179169"/>
                <a:pt x="146050" y="184150"/>
              </a:cubicBezTo>
              <a:cubicBezTo>
                <a:pt x="140481" y="187863"/>
                <a:pt x="133350" y="188383"/>
                <a:pt x="127000" y="190500"/>
              </a:cubicBezTo>
              <a:cubicBezTo>
                <a:pt x="124883" y="196850"/>
                <a:pt x="123901" y="203699"/>
                <a:pt x="120650" y="209550"/>
              </a:cubicBezTo>
              <a:cubicBezTo>
                <a:pt x="113237" y="222893"/>
                <a:pt x="95250" y="247650"/>
                <a:pt x="95250" y="247650"/>
              </a:cubicBezTo>
              <a:cubicBezTo>
                <a:pt x="71297" y="343462"/>
                <a:pt x="109406" y="198832"/>
                <a:pt x="76200" y="298450"/>
              </a:cubicBezTo>
              <a:cubicBezTo>
                <a:pt x="70680" y="315009"/>
                <a:pt x="66923" y="332134"/>
                <a:pt x="63500" y="349250"/>
              </a:cubicBezTo>
              <a:cubicBezTo>
                <a:pt x="61383" y="359833"/>
                <a:pt x="60563" y="370761"/>
                <a:pt x="57150" y="381000"/>
              </a:cubicBezTo>
              <a:cubicBezTo>
                <a:pt x="54157" y="389980"/>
                <a:pt x="47774" y="397537"/>
                <a:pt x="44450" y="406400"/>
              </a:cubicBezTo>
              <a:cubicBezTo>
                <a:pt x="37121" y="425944"/>
                <a:pt x="37785" y="443434"/>
                <a:pt x="31750" y="463550"/>
              </a:cubicBezTo>
              <a:cubicBezTo>
                <a:pt x="28475" y="474468"/>
                <a:pt x="22655" y="484486"/>
                <a:pt x="19050" y="495300"/>
              </a:cubicBezTo>
              <a:cubicBezTo>
                <a:pt x="12531" y="514856"/>
                <a:pt x="11383" y="532319"/>
                <a:pt x="6350" y="552450"/>
              </a:cubicBezTo>
              <a:cubicBezTo>
                <a:pt x="4727" y="558944"/>
                <a:pt x="2117" y="565150"/>
                <a:pt x="0" y="571500"/>
              </a:cubicBezTo>
              <a:lnTo>
                <a:pt x="6350" y="654050"/>
              </a:lnTo>
            </a:path>
          </a:pathLst>
        </a:custGeom>
        <a:noFill/>
        <a:ln w="34925" cap="flat" cmpd="sng" algn="ctr">
          <a:solidFill>
            <a:srgbClr val="00B050"/>
          </a:solidFill>
          <a:prstDash val="solid"/>
          <a:round/>
          <a:headEnd type="none" w="med" len="med"/>
          <a:tailEnd type="arrow" w="med" len="med"/>
        </a:ln>
        <a:effectLst/>
      </xdr:spPr>
      <xdr:txBody>
        <a:bodyPr vertOverflow="clip" wrap="square" lIns="18288" tIns="0" rIns="0" bIns="0" rtlCol="0" anchor="ctr" upright="1"/>
        <a:lstStyle/>
        <a:p>
          <a:pPr algn="l"/>
          <a:endParaRPr lang="en-CA" sz="1100"/>
        </a:p>
      </xdr:txBody>
    </xdr:sp>
    <xdr:clientData/>
  </xdr:twoCellAnchor>
  <xdr:twoCellAnchor>
    <xdr:from>
      <xdr:col>5</xdr:col>
      <xdr:colOff>133350</xdr:colOff>
      <xdr:row>4</xdr:row>
      <xdr:rowOff>38100</xdr:rowOff>
    </xdr:from>
    <xdr:to>
      <xdr:col>7</xdr:col>
      <xdr:colOff>148378</xdr:colOff>
      <xdr:row>9</xdr:row>
      <xdr:rowOff>95478</xdr:rowOff>
    </xdr:to>
    <xdr:sp macro="" textlink="">
      <xdr:nvSpPr>
        <xdr:cNvPr id="13" name="Freeform: Shape 12">
          <a:extLst>
            <a:ext uri="{FF2B5EF4-FFF2-40B4-BE49-F238E27FC236}">
              <a16:creationId xmlns:a16="http://schemas.microsoft.com/office/drawing/2014/main" id="{00000000-0008-0000-1A00-00000D000000}"/>
            </a:ext>
          </a:extLst>
        </xdr:cNvPr>
        <xdr:cNvSpPr/>
      </xdr:nvSpPr>
      <xdr:spPr bwMode="auto">
        <a:xfrm>
          <a:off x="3683000" y="673100"/>
          <a:ext cx="1297728" cy="851128"/>
        </a:xfrm>
        <a:custGeom>
          <a:avLst/>
          <a:gdLst>
            <a:gd name="connsiteX0" fmla="*/ 1282700 w 1297728"/>
            <a:gd name="connsiteY0" fmla="*/ 831850 h 851128"/>
            <a:gd name="connsiteX1" fmla="*/ 1282700 w 1297728"/>
            <a:gd name="connsiteY1" fmla="*/ 831850 h 851128"/>
            <a:gd name="connsiteX2" fmla="*/ 1289050 w 1297728"/>
            <a:gd name="connsiteY2" fmla="*/ 571500 h 851128"/>
            <a:gd name="connsiteX3" fmla="*/ 1276350 w 1297728"/>
            <a:gd name="connsiteY3" fmla="*/ 482600 h 851128"/>
            <a:gd name="connsiteX4" fmla="*/ 1270000 w 1297728"/>
            <a:gd name="connsiteY4" fmla="*/ 463550 h 851128"/>
            <a:gd name="connsiteX5" fmla="*/ 1257300 w 1297728"/>
            <a:gd name="connsiteY5" fmla="*/ 444500 h 851128"/>
            <a:gd name="connsiteX6" fmla="*/ 1244600 w 1297728"/>
            <a:gd name="connsiteY6" fmla="*/ 406400 h 851128"/>
            <a:gd name="connsiteX7" fmla="*/ 1225550 w 1297728"/>
            <a:gd name="connsiteY7" fmla="*/ 368300 h 851128"/>
            <a:gd name="connsiteX8" fmla="*/ 1212850 w 1297728"/>
            <a:gd name="connsiteY8" fmla="*/ 349250 h 851128"/>
            <a:gd name="connsiteX9" fmla="*/ 1187450 w 1297728"/>
            <a:gd name="connsiteY9" fmla="*/ 260350 h 851128"/>
            <a:gd name="connsiteX10" fmla="*/ 1174750 w 1297728"/>
            <a:gd name="connsiteY10" fmla="*/ 241300 h 851128"/>
            <a:gd name="connsiteX11" fmla="*/ 1168400 w 1297728"/>
            <a:gd name="connsiteY11" fmla="*/ 215900 h 851128"/>
            <a:gd name="connsiteX12" fmla="*/ 1136650 w 1297728"/>
            <a:gd name="connsiteY12" fmla="*/ 184150 h 851128"/>
            <a:gd name="connsiteX13" fmla="*/ 1117600 w 1297728"/>
            <a:gd name="connsiteY13" fmla="*/ 177800 h 851128"/>
            <a:gd name="connsiteX14" fmla="*/ 1085850 w 1297728"/>
            <a:gd name="connsiteY14" fmla="*/ 146050 h 851128"/>
            <a:gd name="connsiteX15" fmla="*/ 1066800 w 1297728"/>
            <a:gd name="connsiteY15" fmla="*/ 127000 h 851128"/>
            <a:gd name="connsiteX16" fmla="*/ 1028700 w 1297728"/>
            <a:gd name="connsiteY16" fmla="*/ 101600 h 851128"/>
            <a:gd name="connsiteX17" fmla="*/ 1009650 w 1297728"/>
            <a:gd name="connsiteY17" fmla="*/ 88900 h 851128"/>
            <a:gd name="connsiteX18" fmla="*/ 965200 w 1297728"/>
            <a:gd name="connsiteY18" fmla="*/ 50800 h 851128"/>
            <a:gd name="connsiteX19" fmla="*/ 927100 w 1297728"/>
            <a:gd name="connsiteY19" fmla="*/ 38100 h 851128"/>
            <a:gd name="connsiteX20" fmla="*/ 908050 w 1297728"/>
            <a:gd name="connsiteY20" fmla="*/ 31750 h 851128"/>
            <a:gd name="connsiteX21" fmla="*/ 869950 w 1297728"/>
            <a:gd name="connsiteY21" fmla="*/ 12700 h 851128"/>
            <a:gd name="connsiteX22" fmla="*/ 850900 w 1297728"/>
            <a:gd name="connsiteY22" fmla="*/ 0 h 851128"/>
            <a:gd name="connsiteX23" fmla="*/ 781050 w 1297728"/>
            <a:gd name="connsiteY23" fmla="*/ 6350 h 851128"/>
            <a:gd name="connsiteX24" fmla="*/ 742950 w 1297728"/>
            <a:gd name="connsiteY24" fmla="*/ 25400 h 851128"/>
            <a:gd name="connsiteX25" fmla="*/ 717550 w 1297728"/>
            <a:gd name="connsiteY25" fmla="*/ 31750 h 851128"/>
            <a:gd name="connsiteX26" fmla="*/ 641350 w 1297728"/>
            <a:gd name="connsiteY26" fmla="*/ 88900 h 851128"/>
            <a:gd name="connsiteX27" fmla="*/ 622300 w 1297728"/>
            <a:gd name="connsiteY27" fmla="*/ 107950 h 851128"/>
            <a:gd name="connsiteX28" fmla="*/ 603250 w 1297728"/>
            <a:gd name="connsiteY28" fmla="*/ 114300 h 851128"/>
            <a:gd name="connsiteX29" fmla="*/ 584200 w 1297728"/>
            <a:gd name="connsiteY29" fmla="*/ 127000 h 851128"/>
            <a:gd name="connsiteX30" fmla="*/ 552450 w 1297728"/>
            <a:gd name="connsiteY30" fmla="*/ 171450 h 851128"/>
            <a:gd name="connsiteX31" fmla="*/ 533400 w 1297728"/>
            <a:gd name="connsiteY31" fmla="*/ 196850 h 851128"/>
            <a:gd name="connsiteX32" fmla="*/ 520700 w 1297728"/>
            <a:gd name="connsiteY32" fmla="*/ 215900 h 851128"/>
            <a:gd name="connsiteX33" fmla="*/ 495300 w 1297728"/>
            <a:gd name="connsiteY33" fmla="*/ 234950 h 851128"/>
            <a:gd name="connsiteX34" fmla="*/ 482600 w 1297728"/>
            <a:gd name="connsiteY34" fmla="*/ 260350 h 851128"/>
            <a:gd name="connsiteX35" fmla="*/ 457200 w 1297728"/>
            <a:gd name="connsiteY35" fmla="*/ 279400 h 851128"/>
            <a:gd name="connsiteX36" fmla="*/ 431800 w 1297728"/>
            <a:gd name="connsiteY36" fmla="*/ 304800 h 851128"/>
            <a:gd name="connsiteX37" fmla="*/ 400050 w 1297728"/>
            <a:gd name="connsiteY37" fmla="*/ 336550 h 851128"/>
            <a:gd name="connsiteX38" fmla="*/ 387350 w 1297728"/>
            <a:gd name="connsiteY38" fmla="*/ 355600 h 851128"/>
            <a:gd name="connsiteX39" fmla="*/ 342900 w 1297728"/>
            <a:gd name="connsiteY39" fmla="*/ 387350 h 851128"/>
            <a:gd name="connsiteX40" fmla="*/ 330200 w 1297728"/>
            <a:gd name="connsiteY40" fmla="*/ 406400 h 851128"/>
            <a:gd name="connsiteX41" fmla="*/ 311150 w 1297728"/>
            <a:gd name="connsiteY41" fmla="*/ 412750 h 851128"/>
            <a:gd name="connsiteX42" fmla="*/ 292100 w 1297728"/>
            <a:gd name="connsiteY42" fmla="*/ 431800 h 851128"/>
            <a:gd name="connsiteX43" fmla="*/ 279400 w 1297728"/>
            <a:gd name="connsiteY43" fmla="*/ 450850 h 851128"/>
            <a:gd name="connsiteX44" fmla="*/ 241300 w 1297728"/>
            <a:gd name="connsiteY44" fmla="*/ 463550 h 851128"/>
            <a:gd name="connsiteX45" fmla="*/ 203200 w 1297728"/>
            <a:gd name="connsiteY45" fmla="*/ 501650 h 851128"/>
            <a:gd name="connsiteX46" fmla="*/ 196850 w 1297728"/>
            <a:gd name="connsiteY46" fmla="*/ 520700 h 851128"/>
            <a:gd name="connsiteX47" fmla="*/ 184150 w 1297728"/>
            <a:gd name="connsiteY47" fmla="*/ 546100 h 851128"/>
            <a:gd name="connsiteX48" fmla="*/ 146050 w 1297728"/>
            <a:gd name="connsiteY48" fmla="*/ 590550 h 851128"/>
            <a:gd name="connsiteX49" fmla="*/ 127000 w 1297728"/>
            <a:gd name="connsiteY49" fmla="*/ 647700 h 851128"/>
            <a:gd name="connsiteX50" fmla="*/ 114300 w 1297728"/>
            <a:gd name="connsiteY50" fmla="*/ 692150 h 851128"/>
            <a:gd name="connsiteX51" fmla="*/ 101600 w 1297728"/>
            <a:gd name="connsiteY51" fmla="*/ 755650 h 851128"/>
            <a:gd name="connsiteX52" fmla="*/ 82550 w 1297728"/>
            <a:gd name="connsiteY52" fmla="*/ 774700 h 851128"/>
            <a:gd name="connsiteX53" fmla="*/ 69850 w 1297728"/>
            <a:gd name="connsiteY53" fmla="*/ 793750 h 851128"/>
            <a:gd name="connsiteX54" fmla="*/ 31750 w 1297728"/>
            <a:gd name="connsiteY54" fmla="*/ 825500 h 851128"/>
            <a:gd name="connsiteX55" fmla="*/ 6350 w 1297728"/>
            <a:gd name="connsiteY55" fmla="*/ 850900 h 851128"/>
            <a:gd name="connsiteX56" fmla="*/ 0 w 1297728"/>
            <a:gd name="connsiteY56" fmla="*/ 850900 h 851128"/>
            <a:gd name="connsiteX57" fmla="*/ 12700 w 1297728"/>
            <a:gd name="connsiteY57" fmla="*/ 806450 h 8511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1297728" h="851128">
              <a:moveTo>
                <a:pt x="1282700" y="831850"/>
              </a:moveTo>
              <a:lnTo>
                <a:pt x="1282700" y="831850"/>
              </a:lnTo>
              <a:cubicBezTo>
                <a:pt x="1304367" y="701848"/>
                <a:pt x="1298984" y="765207"/>
                <a:pt x="1289050" y="571500"/>
              </a:cubicBezTo>
              <a:cubicBezTo>
                <a:pt x="1286994" y="531412"/>
                <a:pt x="1285741" y="515469"/>
                <a:pt x="1276350" y="482600"/>
              </a:cubicBezTo>
              <a:cubicBezTo>
                <a:pt x="1274511" y="476164"/>
                <a:pt x="1272993" y="469537"/>
                <a:pt x="1270000" y="463550"/>
              </a:cubicBezTo>
              <a:cubicBezTo>
                <a:pt x="1266587" y="456724"/>
                <a:pt x="1260400" y="451474"/>
                <a:pt x="1257300" y="444500"/>
              </a:cubicBezTo>
              <a:cubicBezTo>
                <a:pt x="1251863" y="432267"/>
                <a:pt x="1252026" y="417539"/>
                <a:pt x="1244600" y="406400"/>
              </a:cubicBezTo>
              <a:cubicBezTo>
                <a:pt x="1208204" y="351805"/>
                <a:pt x="1251840" y="420880"/>
                <a:pt x="1225550" y="368300"/>
              </a:cubicBezTo>
              <a:cubicBezTo>
                <a:pt x="1222137" y="361474"/>
                <a:pt x="1217083" y="355600"/>
                <a:pt x="1212850" y="349250"/>
              </a:cubicBezTo>
              <a:cubicBezTo>
                <a:pt x="1211156" y="342476"/>
                <a:pt x="1194738" y="271282"/>
                <a:pt x="1187450" y="260350"/>
              </a:cubicBezTo>
              <a:lnTo>
                <a:pt x="1174750" y="241300"/>
              </a:lnTo>
              <a:cubicBezTo>
                <a:pt x="1172633" y="232833"/>
                <a:pt x="1171838" y="223922"/>
                <a:pt x="1168400" y="215900"/>
              </a:cubicBezTo>
              <a:cubicBezTo>
                <a:pt x="1161473" y="199736"/>
                <a:pt x="1152044" y="191847"/>
                <a:pt x="1136650" y="184150"/>
              </a:cubicBezTo>
              <a:cubicBezTo>
                <a:pt x="1130663" y="181157"/>
                <a:pt x="1123950" y="179917"/>
                <a:pt x="1117600" y="177800"/>
              </a:cubicBezTo>
              <a:cubicBezTo>
                <a:pt x="1094317" y="142875"/>
                <a:pt x="1117600" y="172508"/>
                <a:pt x="1085850" y="146050"/>
              </a:cubicBezTo>
              <a:cubicBezTo>
                <a:pt x="1078951" y="140301"/>
                <a:pt x="1073889" y="132513"/>
                <a:pt x="1066800" y="127000"/>
              </a:cubicBezTo>
              <a:cubicBezTo>
                <a:pt x="1054752" y="117629"/>
                <a:pt x="1041400" y="110067"/>
                <a:pt x="1028700" y="101600"/>
              </a:cubicBezTo>
              <a:cubicBezTo>
                <a:pt x="1022350" y="97367"/>
                <a:pt x="1015046" y="94296"/>
                <a:pt x="1009650" y="88900"/>
              </a:cubicBezTo>
              <a:cubicBezTo>
                <a:pt x="996941" y="76191"/>
                <a:pt x="981492" y="58946"/>
                <a:pt x="965200" y="50800"/>
              </a:cubicBezTo>
              <a:cubicBezTo>
                <a:pt x="953226" y="44813"/>
                <a:pt x="939800" y="42333"/>
                <a:pt x="927100" y="38100"/>
              </a:cubicBezTo>
              <a:cubicBezTo>
                <a:pt x="920750" y="35983"/>
                <a:pt x="913619" y="35463"/>
                <a:pt x="908050" y="31750"/>
              </a:cubicBezTo>
              <a:cubicBezTo>
                <a:pt x="853455" y="-4646"/>
                <a:pt x="922530" y="38990"/>
                <a:pt x="869950" y="12700"/>
              </a:cubicBezTo>
              <a:cubicBezTo>
                <a:pt x="863124" y="9287"/>
                <a:pt x="857250" y="4233"/>
                <a:pt x="850900" y="0"/>
              </a:cubicBezTo>
              <a:cubicBezTo>
                <a:pt x="827617" y="2117"/>
                <a:pt x="804194" y="3044"/>
                <a:pt x="781050" y="6350"/>
              </a:cubicBezTo>
              <a:cubicBezTo>
                <a:pt x="754293" y="10172"/>
                <a:pt x="768102" y="14621"/>
                <a:pt x="742950" y="25400"/>
              </a:cubicBezTo>
              <a:cubicBezTo>
                <a:pt x="734928" y="28838"/>
                <a:pt x="726017" y="29633"/>
                <a:pt x="717550" y="31750"/>
              </a:cubicBezTo>
              <a:cubicBezTo>
                <a:pt x="692150" y="50800"/>
                <a:pt x="666143" y="69066"/>
                <a:pt x="641350" y="88900"/>
              </a:cubicBezTo>
              <a:cubicBezTo>
                <a:pt x="634338" y="94510"/>
                <a:pt x="629772" y="102969"/>
                <a:pt x="622300" y="107950"/>
              </a:cubicBezTo>
              <a:cubicBezTo>
                <a:pt x="616731" y="111663"/>
                <a:pt x="609237" y="111307"/>
                <a:pt x="603250" y="114300"/>
              </a:cubicBezTo>
              <a:cubicBezTo>
                <a:pt x="596424" y="117713"/>
                <a:pt x="590550" y="122767"/>
                <a:pt x="584200" y="127000"/>
              </a:cubicBezTo>
              <a:cubicBezTo>
                <a:pt x="573058" y="171568"/>
                <a:pt x="587530" y="136370"/>
                <a:pt x="552450" y="171450"/>
              </a:cubicBezTo>
              <a:cubicBezTo>
                <a:pt x="544966" y="178934"/>
                <a:pt x="539551" y="188238"/>
                <a:pt x="533400" y="196850"/>
              </a:cubicBezTo>
              <a:cubicBezTo>
                <a:pt x="528964" y="203060"/>
                <a:pt x="526096" y="210504"/>
                <a:pt x="520700" y="215900"/>
              </a:cubicBezTo>
              <a:cubicBezTo>
                <a:pt x="513216" y="223384"/>
                <a:pt x="503767" y="228600"/>
                <a:pt x="495300" y="234950"/>
              </a:cubicBezTo>
              <a:cubicBezTo>
                <a:pt x="491067" y="243417"/>
                <a:pt x="488760" y="253163"/>
                <a:pt x="482600" y="260350"/>
              </a:cubicBezTo>
              <a:cubicBezTo>
                <a:pt x="475712" y="268385"/>
                <a:pt x="465165" y="272431"/>
                <a:pt x="457200" y="279400"/>
              </a:cubicBezTo>
              <a:cubicBezTo>
                <a:pt x="448189" y="287285"/>
                <a:pt x="439592" y="295709"/>
                <a:pt x="431800" y="304800"/>
              </a:cubicBezTo>
              <a:cubicBezTo>
                <a:pt x="403578" y="337726"/>
                <a:pt x="436739" y="312091"/>
                <a:pt x="400050" y="336550"/>
              </a:cubicBezTo>
              <a:cubicBezTo>
                <a:pt x="395817" y="342900"/>
                <a:pt x="392746" y="350204"/>
                <a:pt x="387350" y="355600"/>
              </a:cubicBezTo>
              <a:cubicBezTo>
                <a:pt x="379474" y="363476"/>
                <a:pt x="353717" y="380139"/>
                <a:pt x="342900" y="387350"/>
              </a:cubicBezTo>
              <a:cubicBezTo>
                <a:pt x="338667" y="393700"/>
                <a:pt x="336159" y="401632"/>
                <a:pt x="330200" y="406400"/>
              </a:cubicBezTo>
              <a:cubicBezTo>
                <a:pt x="324973" y="410581"/>
                <a:pt x="316719" y="409037"/>
                <a:pt x="311150" y="412750"/>
              </a:cubicBezTo>
              <a:cubicBezTo>
                <a:pt x="303678" y="417731"/>
                <a:pt x="297849" y="424901"/>
                <a:pt x="292100" y="431800"/>
              </a:cubicBezTo>
              <a:cubicBezTo>
                <a:pt x="287214" y="437663"/>
                <a:pt x="285872" y="446805"/>
                <a:pt x="279400" y="450850"/>
              </a:cubicBezTo>
              <a:cubicBezTo>
                <a:pt x="268048" y="457945"/>
                <a:pt x="241300" y="463550"/>
                <a:pt x="241300" y="463550"/>
              </a:cubicBezTo>
              <a:cubicBezTo>
                <a:pt x="207433" y="531283"/>
                <a:pt x="254000" y="450850"/>
                <a:pt x="203200" y="501650"/>
              </a:cubicBezTo>
              <a:cubicBezTo>
                <a:pt x="198467" y="506383"/>
                <a:pt x="199487" y="514548"/>
                <a:pt x="196850" y="520700"/>
              </a:cubicBezTo>
              <a:cubicBezTo>
                <a:pt x="193121" y="529401"/>
                <a:pt x="189167" y="538073"/>
                <a:pt x="184150" y="546100"/>
              </a:cubicBezTo>
              <a:cubicBezTo>
                <a:pt x="170573" y="567823"/>
                <a:pt x="163367" y="573233"/>
                <a:pt x="146050" y="590550"/>
              </a:cubicBezTo>
              <a:lnTo>
                <a:pt x="127000" y="647700"/>
              </a:lnTo>
              <a:cubicBezTo>
                <a:pt x="121559" y="664022"/>
                <a:pt x="117489" y="674608"/>
                <a:pt x="114300" y="692150"/>
              </a:cubicBezTo>
              <a:cubicBezTo>
                <a:pt x="113561" y="696217"/>
                <a:pt x="109751" y="743424"/>
                <a:pt x="101600" y="755650"/>
              </a:cubicBezTo>
              <a:cubicBezTo>
                <a:pt x="96619" y="763122"/>
                <a:pt x="88299" y="767801"/>
                <a:pt x="82550" y="774700"/>
              </a:cubicBezTo>
              <a:cubicBezTo>
                <a:pt x="77664" y="780563"/>
                <a:pt x="74736" y="787887"/>
                <a:pt x="69850" y="793750"/>
              </a:cubicBezTo>
              <a:cubicBezTo>
                <a:pt x="54571" y="812085"/>
                <a:pt x="50481" y="813013"/>
                <a:pt x="31750" y="825500"/>
              </a:cubicBezTo>
              <a:cubicBezTo>
                <a:pt x="24053" y="848591"/>
                <a:pt x="30980" y="844742"/>
                <a:pt x="6350" y="850900"/>
              </a:cubicBezTo>
              <a:cubicBezTo>
                <a:pt x="4297" y="851413"/>
                <a:pt x="2117" y="850900"/>
                <a:pt x="0" y="850900"/>
              </a:cubicBezTo>
              <a:lnTo>
                <a:pt x="12700" y="806450"/>
              </a:lnTo>
            </a:path>
          </a:pathLst>
        </a:custGeom>
        <a:noFill/>
        <a:ln w="53975" cap="flat" cmpd="sng" algn="ctr">
          <a:solidFill>
            <a:srgbClr val="00B050"/>
          </a:solidFill>
          <a:prstDash val="solid"/>
          <a:round/>
          <a:headEnd type="none" w="med" len="med"/>
          <a:tailEnd type="triangle" w="med" len="med"/>
        </a:ln>
        <a:effectLst/>
      </xdr:spPr>
      <xdr:txBody>
        <a:bodyPr vertOverflow="clip" wrap="square" lIns="18288" tIns="0" rIns="0" bIns="0" rtlCol="0" anchor="ctr" upright="1"/>
        <a:lstStyle/>
        <a:p>
          <a:pPr algn="l"/>
          <a:endParaRPr lang="en-CA"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152400</xdr:colOff>
      <xdr:row>9</xdr:row>
      <xdr:rowOff>107950</xdr:rowOff>
    </xdr:from>
    <xdr:to>
      <xdr:col>10</xdr:col>
      <xdr:colOff>165100</xdr:colOff>
      <xdr:row>9</xdr:row>
      <xdr:rowOff>114300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bwMode="auto">
        <a:xfrm flipV="1">
          <a:off x="3702050" y="1536700"/>
          <a:ext cx="2774950" cy="6350"/>
        </a:xfrm>
        <a:prstGeom prst="straightConnector1">
          <a:avLst/>
        </a:prstGeom>
        <a:solidFill>
          <a:srgbClr val="FFFFFF"/>
        </a:solidFill>
        <a:ln w="38100" cap="flat" cmpd="sng" algn="ctr">
          <a:solidFill>
            <a:srgbClr val="000000"/>
          </a:solidFill>
          <a:prstDash val="solid"/>
          <a:round/>
          <a:headEnd type="none" w="med" len="med"/>
          <a:tailEnd type="triangle"/>
        </a:ln>
        <a:effectLst/>
      </xdr:spPr>
    </xdr:cxnSp>
    <xdr:clientData/>
  </xdr:twoCellAnchor>
  <xdr:twoCellAnchor>
    <xdr:from>
      <xdr:col>5</xdr:col>
      <xdr:colOff>152400</xdr:colOff>
      <xdr:row>9</xdr:row>
      <xdr:rowOff>19050</xdr:rowOff>
    </xdr:from>
    <xdr:to>
      <xdr:col>5</xdr:col>
      <xdr:colOff>165100</xdr:colOff>
      <xdr:row>10</xdr:row>
      <xdr:rowOff>12700</xdr:rowOff>
    </xdr:to>
    <xdr:cxnSp macro="">
      <xdr:nvCxnSpPr>
        <xdr:cNvPr id="3" name="Straight Connector 2">
          <a:extLst>
            <a:ext uri="{FF2B5EF4-FFF2-40B4-BE49-F238E27FC236}">
              <a16:creationId xmlns:a16="http://schemas.microsoft.com/office/drawing/2014/main" id="{00000000-0008-0000-1B00-000003000000}"/>
            </a:ext>
          </a:extLst>
        </xdr:cNvPr>
        <xdr:cNvCxnSpPr/>
      </xdr:nvCxnSpPr>
      <xdr:spPr bwMode="auto">
        <a:xfrm>
          <a:off x="3702050" y="1447800"/>
          <a:ext cx="1270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7</xdr:col>
      <xdr:colOff>139700</xdr:colOff>
      <xdr:row>9</xdr:row>
      <xdr:rowOff>6350</xdr:rowOff>
    </xdr:from>
    <xdr:to>
      <xdr:col>7</xdr:col>
      <xdr:colOff>139700</xdr:colOff>
      <xdr:row>10</xdr:row>
      <xdr:rowOff>0</xdr:rowOff>
    </xdr:to>
    <xdr:cxnSp macro="">
      <xdr:nvCxnSpPr>
        <xdr:cNvPr id="4" name="Straight Connector 3">
          <a:extLst>
            <a:ext uri="{FF2B5EF4-FFF2-40B4-BE49-F238E27FC236}">
              <a16:creationId xmlns:a16="http://schemas.microsoft.com/office/drawing/2014/main" id="{00000000-0008-0000-1B00-000004000000}"/>
            </a:ext>
          </a:extLst>
        </xdr:cNvPr>
        <xdr:cNvCxnSpPr/>
      </xdr:nvCxnSpPr>
      <xdr:spPr bwMode="auto">
        <a:xfrm>
          <a:off x="4972050" y="1435100"/>
          <a:ext cx="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590550</xdr:colOff>
      <xdr:row>8</xdr:row>
      <xdr:rowOff>152400</xdr:rowOff>
    </xdr:from>
    <xdr:to>
      <xdr:col>9</xdr:col>
      <xdr:colOff>603250</xdr:colOff>
      <xdr:row>9</xdr:row>
      <xdr:rowOff>146050</xdr:rowOff>
    </xdr:to>
    <xdr:cxnSp macro="">
      <xdr:nvCxnSpPr>
        <xdr:cNvPr id="5" name="Straight Connector 4">
          <a:extLst>
            <a:ext uri="{FF2B5EF4-FFF2-40B4-BE49-F238E27FC236}">
              <a16:creationId xmlns:a16="http://schemas.microsoft.com/office/drawing/2014/main" id="{00000000-0008-0000-1B00-000005000000}"/>
            </a:ext>
          </a:extLst>
        </xdr:cNvPr>
        <xdr:cNvCxnSpPr/>
      </xdr:nvCxnSpPr>
      <xdr:spPr bwMode="auto">
        <a:xfrm>
          <a:off x="6261100" y="1422400"/>
          <a:ext cx="12700" cy="1524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615950</xdr:colOff>
      <xdr:row>4</xdr:row>
      <xdr:rowOff>139700</xdr:rowOff>
    </xdr:from>
    <xdr:to>
      <xdr:col>9</xdr:col>
      <xdr:colOff>615950</xdr:colOff>
      <xdr:row>9</xdr:row>
      <xdr:rowOff>88900</xdr:rowOff>
    </xdr:to>
    <xdr:cxnSp macro="">
      <xdr:nvCxnSpPr>
        <xdr:cNvPr id="6" name="Straight Arrow Connector 5">
          <a:extLst>
            <a:ext uri="{FF2B5EF4-FFF2-40B4-BE49-F238E27FC236}">
              <a16:creationId xmlns:a16="http://schemas.microsoft.com/office/drawing/2014/main" id="{00000000-0008-0000-1B00-000006000000}"/>
            </a:ext>
          </a:extLst>
        </xdr:cNvPr>
        <xdr:cNvCxnSpPr/>
      </xdr:nvCxnSpPr>
      <xdr:spPr bwMode="auto">
        <a:xfrm flipV="1">
          <a:off x="6286500" y="774700"/>
          <a:ext cx="0" cy="742950"/>
        </a:xfrm>
        <a:prstGeom prst="straightConnector1">
          <a:avLst/>
        </a:prstGeom>
        <a:solidFill>
          <a:srgbClr val="FFFFFF"/>
        </a:solidFill>
        <a:ln w="38100" cap="flat" cmpd="sng" algn="ctr">
          <a:solidFill>
            <a:srgbClr val="FF0000"/>
          </a:solidFill>
          <a:prstDash val="lgDash"/>
          <a:round/>
          <a:headEnd type="none" w="med" len="med"/>
          <a:tailEnd type="triangle"/>
        </a:ln>
        <a:effectLst/>
      </xdr:spPr>
    </xdr:cxnSp>
    <xdr:clientData/>
  </xdr:twoCellAnchor>
  <xdr:twoCellAnchor>
    <xdr:from>
      <xdr:col>5</xdr:col>
      <xdr:colOff>120650</xdr:colOff>
      <xdr:row>7</xdr:row>
      <xdr:rowOff>44450</xdr:rowOff>
    </xdr:from>
    <xdr:to>
      <xdr:col>5</xdr:col>
      <xdr:colOff>127000</xdr:colOff>
      <xdr:row>10</xdr:row>
      <xdr:rowOff>6350</xdr:rowOff>
    </xdr:to>
    <xdr:cxnSp macro="">
      <xdr:nvCxnSpPr>
        <xdr:cNvPr id="7" name="Straight Arrow Connector 6">
          <a:extLst>
            <a:ext uri="{FF2B5EF4-FFF2-40B4-BE49-F238E27FC236}">
              <a16:creationId xmlns:a16="http://schemas.microsoft.com/office/drawing/2014/main" id="{00000000-0008-0000-1B00-000007000000}"/>
            </a:ext>
          </a:extLst>
        </xdr:cNvPr>
        <xdr:cNvCxnSpPr/>
      </xdr:nvCxnSpPr>
      <xdr:spPr bwMode="auto">
        <a:xfrm flipV="1">
          <a:off x="3670300" y="1155700"/>
          <a:ext cx="6350" cy="438150"/>
        </a:xfrm>
        <a:prstGeom prst="straightConnector1">
          <a:avLst/>
        </a:prstGeom>
        <a:solidFill>
          <a:srgbClr val="FFFFFF"/>
        </a:solidFill>
        <a:ln w="38100" cap="flat" cmpd="sng" algn="ctr">
          <a:solidFill>
            <a:srgbClr val="FF0000"/>
          </a:solidFill>
          <a:prstDash val="lgDash"/>
          <a:round/>
          <a:headEnd type="none" w="med" len="med"/>
          <a:tailEnd type="triangle"/>
        </a:ln>
        <a:effectLst/>
      </xdr:spPr>
    </xdr:cxnSp>
    <xdr:clientData/>
  </xdr:twoCellAnchor>
  <xdr:twoCellAnchor>
    <xdr:from>
      <xdr:col>10</xdr:col>
      <xdr:colOff>57150</xdr:colOff>
      <xdr:row>4</xdr:row>
      <xdr:rowOff>114300</xdr:rowOff>
    </xdr:from>
    <xdr:to>
      <xdr:col>10</xdr:col>
      <xdr:colOff>412750</xdr:colOff>
      <xdr:row>6</xdr:row>
      <xdr:rowOff>19050</xdr:rowOff>
    </xdr:to>
    <xdr:sp macro="" textlink="">
      <xdr:nvSpPr>
        <xdr:cNvPr id="8" name="TextBox 7">
          <a:extLst>
            <a:ext uri="{FF2B5EF4-FFF2-40B4-BE49-F238E27FC236}">
              <a16:creationId xmlns:a16="http://schemas.microsoft.com/office/drawing/2014/main" id="{00000000-0008-0000-1B00-000008000000}"/>
            </a:ext>
          </a:extLst>
        </xdr:cNvPr>
        <xdr:cNvSpPr txBox="1"/>
      </xdr:nvSpPr>
      <xdr:spPr>
        <a:xfrm>
          <a:off x="6369050" y="749300"/>
          <a:ext cx="35560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$1</a:t>
          </a:r>
        </a:p>
      </xdr:txBody>
    </xdr:sp>
    <xdr:clientData/>
  </xdr:twoCellAnchor>
  <xdr:twoCellAnchor>
    <xdr:from>
      <xdr:col>8</xdr:col>
      <xdr:colOff>57150</xdr:colOff>
      <xdr:row>10</xdr:row>
      <xdr:rowOff>19050</xdr:rowOff>
    </xdr:from>
    <xdr:to>
      <xdr:col>9</xdr:col>
      <xdr:colOff>590550</xdr:colOff>
      <xdr:row>13</xdr:row>
      <xdr:rowOff>101600</xdr:rowOff>
    </xdr:to>
    <xdr:cxnSp macro="">
      <xdr:nvCxnSpPr>
        <xdr:cNvPr id="9" name="Connector: Curved 8">
          <a:extLst>
            <a:ext uri="{FF2B5EF4-FFF2-40B4-BE49-F238E27FC236}">
              <a16:creationId xmlns:a16="http://schemas.microsoft.com/office/drawing/2014/main" id="{00000000-0008-0000-1B00-000009000000}"/>
            </a:ext>
          </a:extLst>
        </xdr:cNvPr>
        <xdr:cNvCxnSpPr/>
      </xdr:nvCxnSpPr>
      <xdr:spPr bwMode="auto">
        <a:xfrm rot="10800000" flipV="1">
          <a:off x="5086350" y="1606550"/>
          <a:ext cx="1174750" cy="558800"/>
        </a:xfrm>
        <a:prstGeom prst="curvedConnector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5</xdr:col>
      <xdr:colOff>184150</xdr:colOff>
      <xdr:row>10</xdr:row>
      <xdr:rowOff>31750</xdr:rowOff>
    </xdr:from>
    <xdr:to>
      <xdr:col>8</xdr:col>
      <xdr:colOff>82550</xdr:colOff>
      <xdr:row>13</xdr:row>
      <xdr:rowOff>95250</xdr:rowOff>
    </xdr:to>
    <xdr:cxnSp macro="">
      <xdr:nvCxnSpPr>
        <xdr:cNvPr id="10" name="Connector: Curved 9">
          <a:extLst>
            <a:ext uri="{FF2B5EF4-FFF2-40B4-BE49-F238E27FC236}">
              <a16:creationId xmlns:a16="http://schemas.microsoft.com/office/drawing/2014/main" id="{00000000-0008-0000-1B00-00000A000000}"/>
            </a:ext>
          </a:extLst>
        </xdr:cNvPr>
        <xdr:cNvCxnSpPr/>
      </xdr:nvCxnSpPr>
      <xdr:spPr bwMode="auto">
        <a:xfrm rot="10800000">
          <a:off x="3733800" y="1619250"/>
          <a:ext cx="1377950" cy="539750"/>
        </a:xfrm>
        <a:prstGeom prst="curvedConnector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7</xdr:col>
      <xdr:colOff>171450</xdr:colOff>
      <xdr:row>2</xdr:row>
      <xdr:rowOff>82550</xdr:rowOff>
    </xdr:from>
    <xdr:to>
      <xdr:col>9</xdr:col>
      <xdr:colOff>514350</xdr:colOff>
      <xdr:row>6</xdr:row>
      <xdr:rowOff>101600</xdr:rowOff>
    </xdr:to>
    <xdr:sp macro="" textlink="">
      <xdr:nvSpPr>
        <xdr:cNvPr id="11" name="Freeform: Shape 10">
          <a:extLst>
            <a:ext uri="{FF2B5EF4-FFF2-40B4-BE49-F238E27FC236}">
              <a16:creationId xmlns:a16="http://schemas.microsoft.com/office/drawing/2014/main" id="{00000000-0008-0000-1B00-00000B000000}"/>
            </a:ext>
          </a:extLst>
        </xdr:cNvPr>
        <xdr:cNvSpPr/>
      </xdr:nvSpPr>
      <xdr:spPr bwMode="auto">
        <a:xfrm>
          <a:off x="5003800" y="400050"/>
          <a:ext cx="1181100" cy="654050"/>
        </a:xfrm>
        <a:custGeom>
          <a:avLst/>
          <a:gdLst>
            <a:gd name="connsiteX0" fmla="*/ 1181100 w 1181100"/>
            <a:gd name="connsiteY0" fmla="*/ 520700 h 654050"/>
            <a:gd name="connsiteX1" fmla="*/ 1168400 w 1181100"/>
            <a:gd name="connsiteY1" fmla="*/ 457200 h 654050"/>
            <a:gd name="connsiteX2" fmla="*/ 1155700 w 1181100"/>
            <a:gd name="connsiteY2" fmla="*/ 419100 h 654050"/>
            <a:gd name="connsiteX3" fmla="*/ 1149350 w 1181100"/>
            <a:gd name="connsiteY3" fmla="*/ 381000 h 654050"/>
            <a:gd name="connsiteX4" fmla="*/ 1136650 w 1181100"/>
            <a:gd name="connsiteY4" fmla="*/ 317500 h 654050"/>
            <a:gd name="connsiteX5" fmla="*/ 1130300 w 1181100"/>
            <a:gd name="connsiteY5" fmla="*/ 285750 h 654050"/>
            <a:gd name="connsiteX6" fmla="*/ 1111250 w 1181100"/>
            <a:gd name="connsiteY6" fmla="*/ 247650 h 654050"/>
            <a:gd name="connsiteX7" fmla="*/ 1092200 w 1181100"/>
            <a:gd name="connsiteY7" fmla="*/ 190500 h 654050"/>
            <a:gd name="connsiteX8" fmla="*/ 1085850 w 1181100"/>
            <a:gd name="connsiteY8" fmla="*/ 171450 h 654050"/>
            <a:gd name="connsiteX9" fmla="*/ 1054100 w 1181100"/>
            <a:gd name="connsiteY9" fmla="*/ 133350 h 654050"/>
            <a:gd name="connsiteX10" fmla="*/ 1041400 w 1181100"/>
            <a:gd name="connsiteY10" fmla="*/ 114300 h 654050"/>
            <a:gd name="connsiteX11" fmla="*/ 1022350 w 1181100"/>
            <a:gd name="connsiteY11" fmla="*/ 95250 h 654050"/>
            <a:gd name="connsiteX12" fmla="*/ 1009650 w 1181100"/>
            <a:gd name="connsiteY12" fmla="*/ 76200 h 654050"/>
            <a:gd name="connsiteX13" fmla="*/ 971550 w 1181100"/>
            <a:gd name="connsiteY13" fmla="*/ 50800 h 654050"/>
            <a:gd name="connsiteX14" fmla="*/ 939800 w 1181100"/>
            <a:gd name="connsiteY14" fmla="*/ 31750 h 654050"/>
            <a:gd name="connsiteX15" fmla="*/ 781050 w 1181100"/>
            <a:gd name="connsiteY15" fmla="*/ 0 h 654050"/>
            <a:gd name="connsiteX16" fmla="*/ 400050 w 1181100"/>
            <a:gd name="connsiteY16" fmla="*/ 6350 h 654050"/>
            <a:gd name="connsiteX17" fmla="*/ 355600 w 1181100"/>
            <a:gd name="connsiteY17" fmla="*/ 19050 h 654050"/>
            <a:gd name="connsiteX18" fmla="*/ 336550 w 1181100"/>
            <a:gd name="connsiteY18" fmla="*/ 31750 h 654050"/>
            <a:gd name="connsiteX19" fmla="*/ 298450 w 1181100"/>
            <a:gd name="connsiteY19" fmla="*/ 44450 h 654050"/>
            <a:gd name="connsiteX20" fmla="*/ 260350 w 1181100"/>
            <a:gd name="connsiteY20" fmla="*/ 63500 h 654050"/>
            <a:gd name="connsiteX21" fmla="*/ 234950 w 1181100"/>
            <a:gd name="connsiteY21" fmla="*/ 88900 h 654050"/>
            <a:gd name="connsiteX22" fmla="*/ 222250 w 1181100"/>
            <a:gd name="connsiteY22" fmla="*/ 107950 h 654050"/>
            <a:gd name="connsiteX23" fmla="*/ 190500 w 1181100"/>
            <a:gd name="connsiteY23" fmla="*/ 120650 h 654050"/>
            <a:gd name="connsiteX24" fmla="*/ 165100 w 1181100"/>
            <a:gd name="connsiteY24" fmla="*/ 165100 h 654050"/>
            <a:gd name="connsiteX25" fmla="*/ 146050 w 1181100"/>
            <a:gd name="connsiteY25" fmla="*/ 184150 h 654050"/>
            <a:gd name="connsiteX26" fmla="*/ 127000 w 1181100"/>
            <a:gd name="connsiteY26" fmla="*/ 190500 h 654050"/>
            <a:gd name="connsiteX27" fmla="*/ 120650 w 1181100"/>
            <a:gd name="connsiteY27" fmla="*/ 209550 h 654050"/>
            <a:gd name="connsiteX28" fmla="*/ 95250 w 1181100"/>
            <a:gd name="connsiteY28" fmla="*/ 247650 h 654050"/>
            <a:gd name="connsiteX29" fmla="*/ 76200 w 1181100"/>
            <a:gd name="connsiteY29" fmla="*/ 298450 h 654050"/>
            <a:gd name="connsiteX30" fmla="*/ 63500 w 1181100"/>
            <a:gd name="connsiteY30" fmla="*/ 349250 h 654050"/>
            <a:gd name="connsiteX31" fmla="*/ 57150 w 1181100"/>
            <a:gd name="connsiteY31" fmla="*/ 381000 h 654050"/>
            <a:gd name="connsiteX32" fmla="*/ 44450 w 1181100"/>
            <a:gd name="connsiteY32" fmla="*/ 406400 h 654050"/>
            <a:gd name="connsiteX33" fmla="*/ 31750 w 1181100"/>
            <a:gd name="connsiteY33" fmla="*/ 463550 h 654050"/>
            <a:gd name="connsiteX34" fmla="*/ 19050 w 1181100"/>
            <a:gd name="connsiteY34" fmla="*/ 495300 h 654050"/>
            <a:gd name="connsiteX35" fmla="*/ 6350 w 1181100"/>
            <a:gd name="connsiteY35" fmla="*/ 552450 h 654050"/>
            <a:gd name="connsiteX36" fmla="*/ 0 w 1181100"/>
            <a:gd name="connsiteY36" fmla="*/ 571500 h 654050"/>
            <a:gd name="connsiteX37" fmla="*/ 6350 w 1181100"/>
            <a:gd name="connsiteY37" fmla="*/ 654050 h 654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1181100" h="654050">
              <a:moveTo>
                <a:pt x="1181100" y="520700"/>
              </a:moveTo>
              <a:cubicBezTo>
                <a:pt x="1176867" y="499533"/>
                <a:pt x="1175226" y="477678"/>
                <a:pt x="1168400" y="457200"/>
              </a:cubicBezTo>
              <a:cubicBezTo>
                <a:pt x="1164167" y="444500"/>
                <a:pt x="1158947" y="432087"/>
                <a:pt x="1155700" y="419100"/>
              </a:cubicBezTo>
              <a:cubicBezTo>
                <a:pt x="1152577" y="406609"/>
                <a:pt x="1151723" y="393655"/>
                <a:pt x="1149350" y="381000"/>
              </a:cubicBezTo>
              <a:cubicBezTo>
                <a:pt x="1145372" y="359784"/>
                <a:pt x="1140883" y="338667"/>
                <a:pt x="1136650" y="317500"/>
              </a:cubicBezTo>
              <a:cubicBezTo>
                <a:pt x="1134533" y="306917"/>
                <a:pt x="1135127" y="295403"/>
                <a:pt x="1130300" y="285750"/>
              </a:cubicBezTo>
              <a:cubicBezTo>
                <a:pt x="1123950" y="273050"/>
                <a:pt x="1116711" y="260757"/>
                <a:pt x="1111250" y="247650"/>
              </a:cubicBezTo>
              <a:lnTo>
                <a:pt x="1092200" y="190500"/>
              </a:lnTo>
              <a:cubicBezTo>
                <a:pt x="1090083" y="184150"/>
                <a:pt x="1089563" y="177019"/>
                <a:pt x="1085850" y="171450"/>
              </a:cubicBezTo>
              <a:cubicBezTo>
                <a:pt x="1054318" y="124152"/>
                <a:pt x="1094844" y="182243"/>
                <a:pt x="1054100" y="133350"/>
              </a:cubicBezTo>
              <a:cubicBezTo>
                <a:pt x="1049214" y="127487"/>
                <a:pt x="1046286" y="120163"/>
                <a:pt x="1041400" y="114300"/>
              </a:cubicBezTo>
              <a:cubicBezTo>
                <a:pt x="1035651" y="107401"/>
                <a:pt x="1028099" y="102149"/>
                <a:pt x="1022350" y="95250"/>
              </a:cubicBezTo>
              <a:cubicBezTo>
                <a:pt x="1017464" y="89387"/>
                <a:pt x="1015393" y="81226"/>
                <a:pt x="1009650" y="76200"/>
              </a:cubicBezTo>
              <a:cubicBezTo>
                <a:pt x="998163" y="66149"/>
                <a:pt x="984427" y="58995"/>
                <a:pt x="971550" y="50800"/>
              </a:cubicBezTo>
              <a:cubicBezTo>
                <a:pt x="961137" y="44174"/>
                <a:pt x="951814" y="34577"/>
                <a:pt x="939800" y="31750"/>
              </a:cubicBezTo>
              <a:cubicBezTo>
                <a:pt x="815239" y="2441"/>
                <a:pt x="868531" y="10935"/>
                <a:pt x="781050" y="0"/>
              </a:cubicBezTo>
              <a:lnTo>
                <a:pt x="400050" y="6350"/>
              </a:lnTo>
              <a:cubicBezTo>
                <a:pt x="395710" y="6486"/>
                <a:pt x="361797" y="15952"/>
                <a:pt x="355600" y="19050"/>
              </a:cubicBezTo>
              <a:cubicBezTo>
                <a:pt x="348774" y="22463"/>
                <a:pt x="343524" y="28650"/>
                <a:pt x="336550" y="31750"/>
              </a:cubicBezTo>
              <a:cubicBezTo>
                <a:pt x="324317" y="37187"/>
                <a:pt x="309589" y="37024"/>
                <a:pt x="298450" y="44450"/>
              </a:cubicBezTo>
              <a:cubicBezTo>
                <a:pt x="273831" y="60863"/>
                <a:pt x="286640" y="54737"/>
                <a:pt x="260350" y="63500"/>
              </a:cubicBezTo>
              <a:cubicBezTo>
                <a:pt x="251883" y="71967"/>
                <a:pt x="242742" y="79809"/>
                <a:pt x="234950" y="88900"/>
              </a:cubicBezTo>
              <a:cubicBezTo>
                <a:pt x="229983" y="94694"/>
                <a:pt x="228460" y="103514"/>
                <a:pt x="222250" y="107950"/>
              </a:cubicBezTo>
              <a:cubicBezTo>
                <a:pt x="212975" y="114575"/>
                <a:pt x="201083" y="116417"/>
                <a:pt x="190500" y="120650"/>
              </a:cubicBezTo>
              <a:cubicBezTo>
                <a:pt x="182736" y="136177"/>
                <a:pt x="176319" y="151637"/>
                <a:pt x="165100" y="165100"/>
              </a:cubicBezTo>
              <a:cubicBezTo>
                <a:pt x="159351" y="171999"/>
                <a:pt x="153522" y="179169"/>
                <a:pt x="146050" y="184150"/>
              </a:cubicBezTo>
              <a:cubicBezTo>
                <a:pt x="140481" y="187863"/>
                <a:pt x="133350" y="188383"/>
                <a:pt x="127000" y="190500"/>
              </a:cubicBezTo>
              <a:cubicBezTo>
                <a:pt x="124883" y="196850"/>
                <a:pt x="123901" y="203699"/>
                <a:pt x="120650" y="209550"/>
              </a:cubicBezTo>
              <a:cubicBezTo>
                <a:pt x="113237" y="222893"/>
                <a:pt x="95250" y="247650"/>
                <a:pt x="95250" y="247650"/>
              </a:cubicBezTo>
              <a:cubicBezTo>
                <a:pt x="71297" y="343462"/>
                <a:pt x="109406" y="198832"/>
                <a:pt x="76200" y="298450"/>
              </a:cubicBezTo>
              <a:cubicBezTo>
                <a:pt x="70680" y="315009"/>
                <a:pt x="66923" y="332134"/>
                <a:pt x="63500" y="349250"/>
              </a:cubicBezTo>
              <a:cubicBezTo>
                <a:pt x="61383" y="359833"/>
                <a:pt x="60563" y="370761"/>
                <a:pt x="57150" y="381000"/>
              </a:cubicBezTo>
              <a:cubicBezTo>
                <a:pt x="54157" y="389980"/>
                <a:pt x="47774" y="397537"/>
                <a:pt x="44450" y="406400"/>
              </a:cubicBezTo>
              <a:cubicBezTo>
                <a:pt x="37121" y="425944"/>
                <a:pt x="37785" y="443434"/>
                <a:pt x="31750" y="463550"/>
              </a:cubicBezTo>
              <a:cubicBezTo>
                <a:pt x="28475" y="474468"/>
                <a:pt x="22655" y="484486"/>
                <a:pt x="19050" y="495300"/>
              </a:cubicBezTo>
              <a:cubicBezTo>
                <a:pt x="12531" y="514856"/>
                <a:pt x="11383" y="532319"/>
                <a:pt x="6350" y="552450"/>
              </a:cubicBezTo>
              <a:cubicBezTo>
                <a:pt x="4727" y="558944"/>
                <a:pt x="2117" y="565150"/>
                <a:pt x="0" y="571500"/>
              </a:cubicBezTo>
              <a:lnTo>
                <a:pt x="6350" y="654050"/>
              </a:lnTo>
            </a:path>
          </a:pathLst>
        </a:custGeom>
        <a:noFill/>
        <a:ln w="34925" cap="flat" cmpd="sng" algn="ctr">
          <a:solidFill>
            <a:schemeClr val="accent4"/>
          </a:solidFill>
          <a:prstDash val="solid"/>
          <a:round/>
          <a:headEnd type="none" w="med" len="med"/>
          <a:tailEnd type="arrow" w="med" len="med"/>
        </a:ln>
        <a:effectLst/>
      </xdr:spPr>
      <xdr:txBody>
        <a:bodyPr vertOverflow="clip" wrap="square" lIns="18288" tIns="0" rIns="0" bIns="0" rtlCol="0" anchor="ctr" upright="1"/>
        <a:lstStyle/>
        <a:p>
          <a:pPr algn="l"/>
          <a:endParaRPr lang="en-CA" sz="1100"/>
        </a:p>
      </xdr:txBody>
    </xdr:sp>
    <xdr:clientData/>
  </xdr:twoCellAnchor>
  <xdr:twoCellAnchor>
    <xdr:from>
      <xdr:col>5</xdr:col>
      <xdr:colOff>133350</xdr:colOff>
      <xdr:row>1</xdr:row>
      <xdr:rowOff>38100</xdr:rowOff>
    </xdr:from>
    <xdr:to>
      <xdr:col>7</xdr:col>
      <xdr:colOff>148378</xdr:colOff>
      <xdr:row>6</xdr:row>
      <xdr:rowOff>95478</xdr:rowOff>
    </xdr:to>
    <xdr:sp macro="" textlink="">
      <xdr:nvSpPr>
        <xdr:cNvPr id="12" name="Freeform: Shape 11">
          <a:extLst>
            <a:ext uri="{FF2B5EF4-FFF2-40B4-BE49-F238E27FC236}">
              <a16:creationId xmlns:a16="http://schemas.microsoft.com/office/drawing/2014/main" id="{00000000-0008-0000-1B00-00000C000000}"/>
            </a:ext>
          </a:extLst>
        </xdr:cNvPr>
        <xdr:cNvSpPr/>
      </xdr:nvSpPr>
      <xdr:spPr bwMode="auto">
        <a:xfrm>
          <a:off x="3683000" y="196850"/>
          <a:ext cx="1297728" cy="851128"/>
        </a:xfrm>
        <a:custGeom>
          <a:avLst/>
          <a:gdLst>
            <a:gd name="connsiteX0" fmla="*/ 1282700 w 1297728"/>
            <a:gd name="connsiteY0" fmla="*/ 831850 h 851128"/>
            <a:gd name="connsiteX1" fmla="*/ 1282700 w 1297728"/>
            <a:gd name="connsiteY1" fmla="*/ 831850 h 851128"/>
            <a:gd name="connsiteX2" fmla="*/ 1289050 w 1297728"/>
            <a:gd name="connsiteY2" fmla="*/ 571500 h 851128"/>
            <a:gd name="connsiteX3" fmla="*/ 1276350 w 1297728"/>
            <a:gd name="connsiteY3" fmla="*/ 482600 h 851128"/>
            <a:gd name="connsiteX4" fmla="*/ 1270000 w 1297728"/>
            <a:gd name="connsiteY4" fmla="*/ 463550 h 851128"/>
            <a:gd name="connsiteX5" fmla="*/ 1257300 w 1297728"/>
            <a:gd name="connsiteY5" fmla="*/ 444500 h 851128"/>
            <a:gd name="connsiteX6" fmla="*/ 1244600 w 1297728"/>
            <a:gd name="connsiteY6" fmla="*/ 406400 h 851128"/>
            <a:gd name="connsiteX7" fmla="*/ 1225550 w 1297728"/>
            <a:gd name="connsiteY7" fmla="*/ 368300 h 851128"/>
            <a:gd name="connsiteX8" fmla="*/ 1212850 w 1297728"/>
            <a:gd name="connsiteY8" fmla="*/ 349250 h 851128"/>
            <a:gd name="connsiteX9" fmla="*/ 1187450 w 1297728"/>
            <a:gd name="connsiteY9" fmla="*/ 260350 h 851128"/>
            <a:gd name="connsiteX10" fmla="*/ 1174750 w 1297728"/>
            <a:gd name="connsiteY10" fmla="*/ 241300 h 851128"/>
            <a:gd name="connsiteX11" fmla="*/ 1168400 w 1297728"/>
            <a:gd name="connsiteY11" fmla="*/ 215900 h 851128"/>
            <a:gd name="connsiteX12" fmla="*/ 1136650 w 1297728"/>
            <a:gd name="connsiteY12" fmla="*/ 184150 h 851128"/>
            <a:gd name="connsiteX13" fmla="*/ 1117600 w 1297728"/>
            <a:gd name="connsiteY13" fmla="*/ 177800 h 851128"/>
            <a:gd name="connsiteX14" fmla="*/ 1085850 w 1297728"/>
            <a:gd name="connsiteY14" fmla="*/ 146050 h 851128"/>
            <a:gd name="connsiteX15" fmla="*/ 1066800 w 1297728"/>
            <a:gd name="connsiteY15" fmla="*/ 127000 h 851128"/>
            <a:gd name="connsiteX16" fmla="*/ 1028700 w 1297728"/>
            <a:gd name="connsiteY16" fmla="*/ 101600 h 851128"/>
            <a:gd name="connsiteX17" fmla="*/ 1009650 w 1297728"/>
            <a:gd name="connsiteY17" fmla="*/ 88900 h 851128"/>
            <a:gd name="connsiteX18" fmla="*/ 965200 w 1297728"/>
            <a:gd name="connsiteY18" fmla="*/ 50800 h 851128"/>
            <a:gd name="connsiteX19" fmla="*/ 927100 w 1297728"/>
            <a:gd name="connsiteY19" fmla="*/ 38100 h 851128"/>
            <a:gd name="connsiteX20" fmla="*/ 908050 w 1297728"/>
            <a:gd name="connsiteY20" fmla="*/ 31750 h 851128"/>
            <a:gd name="connsiteX21" fmla="*/ 869950 w 1297728"/>
            <a:gd name="connsiteY21" fmla="*/ 12700 h 851128"/>
            <a:gd name="connsiteX22" fmla="*/ 850900 w 1297728"/>
            <a:gd name="connsiteY22" fmla="*/ 0 h 851128"/>
            <a:gd name="connsiteX23" fmla="*/ 781050 w 1297728"/>
            <a:gd name="connsiteY23" fmla="*/ 6350 h 851128"/>
            <a:gd name="connsiteX24" fmla="*/ 742950 w 1297728"/>
            <a:gd name="connsiteY24" fmla="*/ 25400 h 851128"/>
            <a:gd name="connsiteX25" fmla="*/ 717550 w 1297728"/>
            <a:gd name="connsiteY25" fmla="*/ 31750 h 851128"/>
            <a:gd name="connsiteX26" fmla="*/ 641350 w 1297728"/>
            <a:gd name="connsiteY26" fmla="*/ 88900 h 851128"/>
            <a:gd name="connsiteX27" fmla="*/ 622300 w 1297728"/>
            <a:gd name="connsiteY27" fmla="*/ 107950 h 851128"/>
            <a:gd name="connsiteX28" fmla="*/ 603250 w 1297728"/>
            <a:gd name="connsiteY28" fmla="*/ 114300 h 851128"/>
            <a:gd name="connsiteX29" fmla="*/ 584200 w 1297728"/>
            <a:gd name="connsiteY29" fmla="*/ 127000 h 851128"/>
            <a:gd name="connsiteX30" fmla="*/ 552450 w 1297728"/>
            <a:gd name="connsiteY30" fmla="*/ 171450 h 851128"/>
            <a:gd name="connsiteX31" fmla="*/ 533400 w 1297728"/>
            <a:gd name="connsiteY31" fmla="*/ 196850 h 851128"/>
            <a:gd name="connsiteX32" fmla="*/ 520700 w 1297728"/>
            <a:gd name="connsiteY32" fmla="*/ 215900 h 851128"/>
            <a:gd name="connsiteX33" fmla="*/ 495300 w 1297728"/>
            <a:gd name="connsiteY33" fmla="*/ 234950 h 851128"/>
            <a:gd name="connsiteX34" fmla="*/ 482600 w 1297728"/>
            <a:gd name="connsiteY34" fmla="*/ 260350 h 851128"/>
            <a:gd name="connsiteX35" fmla="*/ 457200 w 1297728"/>
            <a:gd name="connsiteY35" fmla="*/ 279400 h 851128"/>
            <a:gd name="connsiteX36" fmla="*/ 431800 w 1297728"/>
            <a:gd name="connsiteY36" fmla="*/ 304800 h 851128"/>
            <a:gd name="connsiteX37" fmla="*/ 400050 w 1297728"/>
            <a:gd name="connsiteY37" fmla="*/ 336550 h 851128"/>
            <a:gd name="connsiteX38" fmla="*/ 387350 w 1297728"/>
            <a:gd name="connsiteY38" fmla="*/ 355600 h 851128"/>
            <a:gd name="connsiteX39" fmla="*/ 342900 w 1297728"/>
            <a:gd name="connsiteY39" fmla="*/ 387350 h 851128"/>
            <a:gd name="connsiteX40" fmla="*/ 330200 w 1297728"/>
            <a:gd name="connsiteY40" fmla="*/ 406400 h 851128"/>
            <a:gd name="connsiteX41" fmla="*/ 311150 w 1297728"/>
            <a:gd name="connsiteY41" fmla="*/ 412750 h 851128"/>
            <a:gd name="connsiteX42" fmla="*/ 292100 w 1297728"/>
            <a:gd name="connsiteY42" fmla="*/ 431800 h 851128"/>
            <a:gd name="connsiteX43" fmla="*/ 279400 w 1297728"/>
            <a:gd name="connsiteY43" fmla="*/ 450850 h 851128"/>
            <a:gd name="connsiteX44" fmla="*/ 241300 w 1297728"/>
            <a:gd name="connsiteY44" fmla="*/ 463550 h 851128"/>
            <a:gd name="connsiteX45" fmla="*/ 203200 w 1297728"/>
            <a:gd name="connsiteY45" fmla="*/ 501650 h 851128"/>
            <a:gd name="connsiteX46" fmla="*/ 196850 w 1297728"/>
            <a:gd name="connsiteY46" fmla="*/ 520700 h 851128"/>
            <a:gd name="connsiteX47" fmla="*/ 184150 w 1297728"/>
            <a:gd name="connsiteY47" fmla="*/ 546100 h 851128"/>
            <a:gd name="connsiteX48" fmla="*/ 146050 w 1297728"/>
            <a:gd name="connsiteY48" fmla="*/ 590550 h 851128"/>
            <a:gd name="connsiteX49" fmla="*/ 127000 w 1297728"/>
            <a:gd name="connsiteY49" fmla="*/ 647700 h 851128"/>
            <a:gd name="connsiteX50" fmla="*/ 114300 w 1297728"/>
            <a:gd name="connsiteY50" fmla="*/ 692150 h 851128"/>
            <a:gd name="connsiteX51" fmla="*/ 101600 w 1297728"/>
            <a:gd name="connsiteY51" fmla="*/ 755650 h 851128"/>
            <a:gd name="connsiteX52" fmla="*/ 82550 w 1297728"/>
            <a:gd name="connsiteY52" fmla="*/ 774700 h 851128"/>
            <a:gd name="connsiteX53" fmla="*/ 69850 w 1297728"/>
            <a:gd name="connsiteY53" fmla="*/ 793750 h 851128"/>
            <a:gd name="connsiteX54" fmla="*/ 31750 w 1297728"/>
            <a:gd name="connsiteY54" fmla="*/ 825500 h 851128"/>
            <a:gd name="connsiteX55" fmla="*/ 6350 w 1297728"/>
            <a:gd name="connsiteY55" fmla="*/ 850900 h 851128"/>
            <a:gd name="connsiteX56" fmla="*/ 0 w 1297728"/>
            <a:gd name="connsiteY56" fmla="*/ 850900 h 851128"/>
            <a:gd name="connsiteX57" fmla="*/ 12700 w 1297728"/>
            <a:gd name="connsiteY57" fmla="*/ 806450 h 8511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1297728" h="851128">
              <a:moveTo>
                <a:pt x="1282700" y="831850"/>
              </a:moveTo>
              <a:lnTo>
                <a:pt x="1282700" y="831850"/>
              </a:lnTo>
              <a:cubicBezTo>
                <a:pt x="1304367" y="701848"/>
                <a:pt x="1298984" y="765207"/>
                <a:pt x="1289050" y="571500"/>
              </a:cubicBezTo>
              <a:cubicBezTo>
                <a:pt x="1286994" y="531412"/>
                <a:pt x="1285741" y="515469"/>
                <a:pt x="1276350" y="482600"/>
              </a:cubicBezTo>
              <a:cubicBezTo>
                <a:pt x="1274511" y="476164"/>
                <a:pt x="1272993" y="469537"/>
                <a:pt x="1270000" y="463550"/>
              </a:cubicBezTo>
              <a:cubicBezTo>
                <a:pt x="1266587" y="456724"/>
                <a:pt x="1260400" y="451474"/>
                <a:pt x="1257300" y="444500"/>
              </a:cubicBezTo>
              <a:cubicBezTo>
                <a:pt x="1251863" y="432267"/>
                <a:pt x="1252026" y="417539"/>
                <a:pt x="1244600" y="406400"/>
              </a:cubicBezTo>
              <a:cubicBezTo>
                <a:pt x="1208204" y="351805"/>
                <a:pt x="1251840" y="420880"/>
                <a:pt x="1225550" y="368300"/>
              </a:cubicBezTo>
              <a:cubicBezTo>
                <a:pt x="1222137" y="361474"/>
                <a:pt x="1217083" y="355600"/>
                <a:pt x="1212850" y="349250"/>
              </a:cubicBezTo>
              <a:cubicBezTo>
                <a:pt x="1211156" y="342476"/>
                <a:pt x="1194738" y="271282"/>
                <a:pt x="1187450" y="260350"/>
              </a:cubicBezTo>
              <a:lnTo>
                <a:pt x="1174750" y="241300"/>
              </a:lnTo>
              <a:cubicBezTo>
                <a:pt x="1172633" y="232833"/>
                <a:pt x="1171838" y="223922"/>
                <a:pt x="1168400" y="215900"/>
              </a:cubicBezTo>
              <a:cubicBezTo>
                <a:pt x="1161473" y="199736"/>
                <a:pt x="1152044" y="191847"/>
                <a:pt x="1136650" y="184150"/>
              </a:cubicBezTo>
              <a:cubicBezTo>
                <a:pt x="1130663" y="181157"/>
                <a:pt x="1123950" y="179917"/>
                <a:pt x="1117600" y="177800"/>
              </a:cubicBezTo>
              <a:cubicBezTo>
                <a:pt x="1094317" y="142875"/>
                <a:pt x="1117600" y="172508"/>
                <a:pt x="1085850" y="146050"/>
              </a:cubicBezTo>
              <a:cubicBezTo>
                <a:pt x="1078951" y="140301"/>
                <a:pt x="1073889" y="132513"/>
                <a:pt x="1066800" y="127000"/>
              </a:cubicBezTo>
              <a:cubicBezTo>
                <a:pt x="1054752" y="117629"/>
                <a:pt x="1041400" y="110067"/>
                <a:pt x="1028700" y="101600"/>
              </a:cubicBezTo>
              <a:cubicBezTo>
                <a:pt x="1022350" y="97367"/>
                <a:pt x="1015046" y="94296"/>
                <a:pt x="1009650" y="88900"/>
              </a:cubicBezTo>
              <a:cubicBezTo>
                <a:pt x="996941" y="76191"/>
                <a:pt x="981492" y="58946"/>
                <a:pt x="965200" y="50800"/>
              </a:cubicBezTo>
              <a:cubicBezTo>
                <a:pt x="953226" y="44813"/>
                <a:pt x="939800" y="42333"/>
                <a:pt x="927100" y="38100"/>
              </a:cubicBezTo>
              <a:cubicBezTo>
                <a:pt x="920750" y="35983"/>
                <a:pt x="913619" y="35463"/>
                <a:pt x="908050" y="31750"/>
              </a:cubicBezTo>
              <a:cubicBezTo>
                <a:pt x="853455" y="-4646"/>
                <a:pt x="922530" y="38990"/>
                <a:pt x="869950" y="12700"/>
              </a:cubicBezTo>
              <a:cubicBezTo>
                <a:pt x="863124" y="9287"/>
                <a:pt x="857250" y="4233"/>
                <a:pt x="850900" y="0"/>
              </a:cubicBezTo>
              <a:cubicBezTo>
                <a:pt x="827617" y="2117"/>
                <a:pt x="804194" y="3044"/>
                <a:pt x="781050" y="6350"/>
              </a:cubicBezTo>
              <a:cubicBezTo>
                <a:pt x="754293" y="10172"/>
                <a:pt x="768102" y="14621"/>
                <a:pt x="742950" y="25400"/>
              </a:cubicBezTo>
              <a:cubicBezTo>
                <a:pt x="734928" y="28838"/>
                <a:pt x="726017" y="29633"/>
                <a:pt x="717550" y="31750"/>
              </a:cubicBezTo>
              <a:cubicBezTo>
                <a:pt x="692150" y="50800"/>
                <a:pt x="666143" y="69066"/>
                <a:pt x="641350" y="88900"/>
              </a:cubicBezTo>
              <a:cubicBezTo>
                <a:pt x="634338" y="94510"/>
                <a:pt x="629772" y="102969"/>
                <a:pt x="622300" y="107950"/>
              </a:cubicBezTo>
              <a:cubicBezTo>
                <a:pt x="616731" y="111663"/>
                <a:pt x="609237" y="111307"/>
                <a:pt x="603250" y="114300"/>
              </a:cubicBezTo>
              <a:cubicBezTo>
                <a:pt x="596424" y="117713"/>
                <a:pt x="590550" y="122767"/>
                <a:pt x="584200" y="127000"/>
              </a:cubicBezTo>
              <a:cubicBezTo>
                <a:pt x="573058" y="171568"/>
                <a:pt x="587530" y="136370"/>
                <a:pt x="552450" y="171450"/>
              </a:cubicBezTo>
              <a:cubicBezTo>
                <a:pt x="544966" y="178934"/>
                <a:pt x="539551" y="188238"/>
                <a:pt x="533400" y="196850"/>
              </a:cubicBezTo>
              <a:cubicBezTo>
                <a:pt x="528964" y="203060"/>
                <a:pt x="526096" y="210504"/>
                <a:pt x="520700" y="215900"/>
              </a:cubicBezTo>
              <a:cubicBezTo>
                <a:pt x="513216" y="223384"/>
                <a:pt x="503767" y="228600"/>
                <a:pt x="495300" y="234950"/>
              </a:cubicBezTo>
              <a:cubicBezTo>
                <a:pt x="491067" y="243417"/>
                <a:pt x="488760" y="253163"/>
                <a:pt x="482600" y="260350"/>
              </a:cubicBezTo>
              <a:cubicBezTo>
                <a:pt x="475712" y="268385"/>
                <a:pt x="465165" y="272431"/>
                <a:pt x="457200" y="279400"/>
              </a:cubicBezTo>
              <a:cubicBezTo>
                <a:pt x="448189" y="287285"/>
                <a:pt x="439592" y="295709"/>
                <a:pt x="431800" y="304800"/>
              </a:cubicBezTo>
              <a:cubicBezTo>
                <a:pt x="403578" y="337726"/>
                <a:pt x="436739" y="312091"/>
                <a:pt x="400050" y="336550"/>
              </a:cubicBezTo>
              <a:cubicBezTo>
                <a:pt x="395817" y="342900"/>
                <a:pt x="392746" y="350204"/>
                <a:pt x="387350" y="355600"/>
              </a:cubicBezTo>
              <a:cubicBezTo>
                <a:pt x="379474" y="363476"/>
                <a:pt x="353717" y="380139"/>
                <a:pt x="342900" y="387350"/>
              </a:cubicBezTo>
              <a:cubicBezTo>
                <a:pt x="338667" y="393700"/>
                <a:pt x="336159" y="401632"/>
                <a:pt x="330200" y="406400"/>
              </a:cubicBezTo>
              <a:cubicBezTo>
                <a:pt x="324973" y="410581"/>
                <a:pt x="316719" y="409037"/>
                <a:pt x="311150" y="412750"/>
              </a:cubicBezTo>
              <a:cubicBezTo>
                <a:pt x="303678" y="417731"/>
                <a:pt x="297849" y="424901"/>
                <a:pt x="292100" y="431800"/>
              </a:cubicBezTo>
              <a:cubicBezTo>
                <a:pt x="287214" y="437663"/>
                <a:pt x="285872" y="446805"/>
                <a:pt x="279400" y="450850"/>
              </a:cubicBezTo>
              <a:cubicBezTo>
                <a:pt x="268048" y="457945"/>
                <a:pt x="241300" y="463550"/>
                <a:pt x="241300" y="463550"/>
              </a:cubicBezTo>
              <a:cubicBezTo>
                <a:pt x="207433" y="531283"/>
                <a:pt x="254000" y="450850"/>
                <a:pt x="203200" y="501650"/>
              </a:cubicBezTo>
              <a:cubicBezTo>
                <a:pt x="198467" y="506383"/>
                <a:pt x="199487" y="514548"/>
                <a:pt x="196850" y="520700"/>
              </a:cubicBezTo>
              <a:cubicBezTo>
                <a:pt x="193121" y="529401"/>
                <a:pt x="189167" y="538073"/>
                <a:pt x="184150" y="546100"/>
              </a:cubicBezTo>
              <a:cubicBezTo>
                <a:pt x="170573" y="567823"/>
                <a:pt x="163367" y="573233"/>
                <a:pt x="146050" y="590550"/>
              </a:cubicBezTo>
              <a:lnTo>
                <a:pt x="127000" y="647700"/>
              </a:lnTo>
              <a:cubicBezTo>
                <a:pt x="121559" y="664022"/>
                <a:pt x="117489" y="674608"/>
                <a:pt x="114300" y="692150"/>
              </a:cubicBezTo>
              <a:cubicBezTo>
                <a:pt x="113561" y="696217"/>
                <a:pt x="109751" y="743424"/>
                <a:pt x="101600" y="755650"/>
              </a:cubicBezTo>
              <a:cubicBezTo>
                <a:pt x="96619" y="763122"/>
                <a:pt x="88299" y="767801"/>
                <a:pt x="82550" y="774700"/>
              </a:cubicBezTo>
              <a:cubicBezTo>
                <a:pt x="77664" y="780563"/>
                <a:pt x="74736" y="787887"/>
                <a:pt x="69850" y="793750"/>
              </a:cubicBezTo>
              <a:cubicBezTo>
                <a:pt x="54571" y="812085"/>
                <a:pt x="50481" y="813013"/>
                <a:pt x="31750" y="825500"/>
              </a:cubicBezTo>
              <a:cubicBezTo>
                <a:pt x="24053" y="848591"/>
                <a:pt x="30980" y="844742"/>
                <a:pt x="6350" y="850900"/>
              </a:cubicBezTo>
              <a:cubicBezTo>
                <a:pt x="4297" y="851413"/>
                <a:pt x="2117" y="850900"/>
                <a:pt x="0" y="850900"/>
              </a:cubicBezTo>
              <a:lnTo>
                <a:pt x="12700" y="806450"/>
              </a:lnTo>
            </a:path>
          </a:pathLst>
        </a:custGeom>
        <a:noFill/>
        <a:ln w="53975" cap="flat" cmpd="sng" algn="ctr">
          <a:solidFill>
            <a:srgbClr val="00B050"/>
          </a:solidFill>
          <a:prstDash val="solid"/>
          <a:round/>
          <a:headEnd type="none" w="med" len="med"/>
          <a:tailEnd type="arrow" w="med" len="med"/>
        </a:ln>
        <a:effectLst/>
      </xdr:spPr>
      <xdr:txBody>
        <a:bodyPr vertOverflow="clip" wrap="square" lIns="18288" tIns="0" rIns="0" bIns="0" rtlCol="0" anchor="ctr" upright="1"/>
        <a:lstStyle/>
        <a:p>
          <a:pPr algn="l"/>
          <a:endParaRPr lang="en-CA" sz="1100"/>
        </a:p>
      </xdr:txBody>
    </xdr:sp>
    <xdr:clientData/>
  </xdr:twoCellAnchor>
  <xdr:twoCellAnchor>
    <xdr:from>
      <xdr:col>4</xdr:col>
      <xdr:colOff>609600</xdr:colOff>
      <xdr:row>2</xdr:row>
      <xdr:rowOff>0</xdr:rowOff>
    </xdr:from>
    <xdr:to>
      <xdr:col>6</xdr:col>
      <xdr:colOff>177800</xdr:colOff>
      <xdr:row>3</xdr:row>
      <xdr:rowOff>50800</xdr:rowOff>
    </xdr:to>
    <xdr:sp macro="" textlink="">
      <xdr:nvSpPr>
        <xdr:cNvPr id="13" name="TextBox 12">
          <a:extLst>
            <a:ext uri="{FF2B5EF4-FFF2-40B4-BE49-F238E27FC236}">
              <a16:creationId xmlns:a16="http://schemas.microsoft.com/office/drawing/2014/main" id="{00000000-0008-0000-1B00-00000D000000}"/>
            </a:ext>
          </a:extLst>
        </xdr:cNvPr>
        <xdr:cNvSpPr txBox="1"/>
      </xdr:nvSpPr>
      <xdr:spPr>
        <a:xfrm>
          <a:off x="3422650" y="317500"/>
          <a:ext cx="5207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R1</a:t>
          </a:r>
        </a:p>
      </xdr:txBody>
    </xdr:sp>
    <xdr:clientData/>
  </xdr:twoCellAnchor>
  <xdr:twoCellAnchor>
    <xdr:from>
      <xdr:col>8</xdr:col>
      <xdr:colOff>425450</xdr:colOff>
      <xdr:row>3</xdr:row>
      <xdr:rowOff>88900</xdr:rowOff>
    </xdr:from>
    <xdr:to>
      <xdr:col>9</xdr:col>
      <xdr:colOff>304800</xdr:colOff>
      <xdr:row>4</xdr:row>
      <xdr:rowOff>139700</xdr:rowOff>
    </xdr:to>
    <xdr:sp macro="" textlink="">
      <xdr:nvSpPr>
        <xdr:cNvPr id="14" name="TextBox 13">
          <a:extLst>
            <a:ext uri="{FF2B5EF4-FFF2-40B4-BE49-F238E27FC236}">
              <a16:creationId xmlns:a16="http://schemas.microsoft.com/office/drawing/2014/main" id="{00000000-0008-0000-1B00-00000E000000}"/>
            </a:ext>
          </a:extLst>
        </xdr:cNvPr>
        <xdr:cNvSpPr txBox="1"/>
      </xdr:nvSpPr>
      <xdr:spPr>
        <a:xfrm>
          <a:off x="5454650" y="565150"/>
          <a:ext cx="5207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R*</a:t>
          </a:r>
        </a:p>
      </xdr:txBody>
    </xdr:sp>
    <xdr:clientData/>
  </xdr:twoCellAnchor>
  <xdr:twoCellAnchor>
    <xdr:from>
      <xdr:col>6</xdr:col>
      <xdr:colOff>933450</xdr:colOff>
      <xdr:row>14</xdr:row>
      <xdr:rowOff>38100</xdr:rowOff>
    </xdr:from>
    <xdr:to>
      <xdr:col>8</xdr:col>
      <xdr:colOff>190500</xdr:colOff>
      <xdr:row>15</xdr:row>
      <xdr:rowOff>88900</xdr:rowOff>
    </xdr:to>
    <xdr:sp macro="" textlink="">
      <xdr:nvSpPr>
        <xdr:cNvPr id="15" name="TextBox 14">
          <a:extLst>
            <a:ext uri="{FF2B5EF4-FFF2-40B4-BE49-F238E27FC236}">
              <a16:creationId xmlns:a16="http://schemas.microsoft.com/office/drawing/2014/main" id="{00000000-0008-0000-1B00-00000F000000}"/>
            </a:ext>
          </a:extLst>
        </xdr:cNvPr>
        <xdr:cNvSpPr txBox="1"/>
      </xdr:nvSpPr>
      <xdr:spPr>
        <a:xfrm>
          <a:off x="4699000" y="2260600"/>
          <a:ext cx="5207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R2</a:t>
          </a:r>
        </a:p>
      </xdr:txBody>
    </xdr:sp>
    <xdr:clientData/>
  </xdr:twoCellAnchor>
  <xdr:oneCellAnchor>
    <xdr:from>
      <xdr:col>10</xdr:col>
      <xdr:colOff>85725</xdr:colOff>
      <xdr:row>16</xdr:row>
      <xdr:rowOff>139700</xdr:rowOff>
    </xdr:from>
    <xdr:ext cx="1539875" cy="452532"/>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0000000-0008-0000-1B00-000010000000}"/>
                </a:ext>
              </a:extLst>
            </xdr:cNvPr>
            <xdr:cNvSpPr txBox="1"/>
          </xdr:nvSpPr>
          <xdr:spPr>
            <a:xfrm>
              <a:off x="6397625" y="2679700"/>
              <a:ext cx="1539875" cy="452532"/>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sSup>
                      <m:sSupPr>
                        <m:ctrlPr>
                          <a:rPr lang="en-CA" sz="1100" i="1" kern="1200">
                            <a:ln>
                              <a:noFill/>
                            </a:ln>
                            <a:latin typeface="Cambria Math" panose="02040503050406030204" pitchFamily="18" charset="0"/>
                          </a:rPr>
                        </m:ctrlPr>
                      </m:sSupPr>
                      <m:e>
                        <m:r>
                          <a:rPr lang="en-US" sz="1100" b="0" i="1" kern="1200">
                            <a:ln>
                              <a:noFill/>
                            </a:ln>
                            <a:latin typeface="Cambria Math" panose="02040503050406030204" pitchFamily="18" charset="0"/>
                          </a:rPr>
                          <m:t>𝑅</m:t>
                        </m:r>
                      </m:e>
                      <m:sup>
                        <m:r>
                          <a:rPr lang="en-US" sz="1100" b="0" i="1" kern="1200">
                            <a:ln>
                              <a:noFill/>
                            </a:ln>
                            <a:latin typeface="Cambria Math" panose="02040503050406030204" pitchFamily="18" charset="0"/>
                          </a:rPr>
                          <m:t>∗</m:t>
                        </m:r>
                      </m:sup>
                    </m:sSup>
                    <m:r>
                      <a:rPr lang="en-US" sz="1100" b="0" i="1" kern="1200">
                        <a:ln>
                          <a:noFill/>
                        </a:ln>
                        <a:latin typeface="Cambria Math" panose="02040503050406030204" pitchFamily="18" charset="0"/>
                      </a:rPr>
                      <m:t>=</m:t>
                    </m:r>
                    <m:f>
                      <m:fPr>
                        <m:ctrlPr>
                          <a:rPr lang="en-US" sz="1100" b="0" i="1">
                            <a:ln>
                              <a:noFill/>
                            </a:ln>
                            <a:solidFill>
                              <a:schemeClr val="tx1"/>
                            </a:solidFill>
                            <a:effectLst/>
                            <a:latin typeface="Cambria Math" panose="02040503050406030204" pitchFamily="18" charset="0"/>
                            <a:ea typeface="+mn-ea"/>
                            <a:cs typeface="+mn-cs"/>
                          </a:rPr>
                        </m:ctrlPr>
                      </m:fPr>
                      <m:num>
                        <m:sSub>
                          <m:sSubPr>
                            <m:ctrlPr>
                              <a:rPr lang="en-US" sz="1100" b="0" i="1">
                                <a:ln>
                                  <a:noFill/>
                                </a:ln>
                                <a:solidFill>
                                  <a:schemeClr val="tx1"/>
                                </a:solidFill>
                                <a:effectLst/>
                                <a:latin typeface="Cambria Math" panose="02040503050406030204" pitchFamily="18" charset="0"/>
                                <a:ea typeface="+mn-ea"/>
                                <a:cs typeface="+mn-cs"/>
                              </a:rPr>
                            </m:ctrlPr>
                          </m:sSubPr>
                          <m:e>
                            <m:r>
                              <a:rPr lang="en-US" sz="1100" b="0" i="1">
                                <a:ln>
                                  <a:noFill/>
                                </a:ln>
                                <a:solidFill>
                                  <a:schemeClr val="tx1"/>
                                </a:solidFill>
                                <a:effectLst/>
                                <a:latin typeface="Cambria Math" panose="02040503050406030204" pitchFamily="18" charset="0"/>
                                <a:ea typeface="+mn-ea"/>
                                <a:cs typeface="+mn-cs"/>
                              </a:rPr>
                              <m:t>𝑅</m:t>
                            </m:r>
                          </m:e>
                          <m:sub>
                            <m:r>
                              <a:rPr lang="en-US" sz="1100" b="0" i="1">
                                <a:ln>
                                  <a:noFill/>
                                </a:ln>
                                <a:solidFill>
                                  <a:schemeClr val="tx1"/>
                                </a:solidFill>
                                <a:effectLst/>
                                <a:latin typeface="Cambria Math" panose="02040503050406030204" pitchFamily="18" charset="0"/>
                                <a:ea typeface="+mn-ea"/>
                                <a:cs typeface="+mn-cs"/>
                              </a:rPr>
                              <m:t>2</m:t>
                            </m:r>
                          </m:sub>
                        </m:sSub>
                        <m:sSub>
                          <m:sSubPr>
                            <m:ctrlPr>
                              <a:rPr lang="en-US" sz="1100" b="0" i="1">
                                <a:ln>
                                  <a:noFill/>
                                </a:ln>
                                <a:solidFill>
                                  <a:schemeClr val="tx1"/>
                                </a:solidFill>
                                <a:effectLst/>
                                <a:latin typeface="Cambria Math" panose="02040503050406030204" pitchFamily="18" charset="0"/>
                                <a:ea typeface="+mn-ea"/>
                                <a:cs typeface="+mn-cs"/>
                              </a:rPr>
                            </m:ctrlPr>
                          </m:sSubPr>
                          <m:e>
                            <m:r>
                              <a:rPr lang="en-US" sz="1100" b="0" i="1">
                                <a:ln>
                                  <a:noFill/>
                                </a:ln>
                                <a:solidFill>
                                  <a:schemeClr val="tx1"/>
                                </a:solidFill>
                                <a:effectLst/>
                                <a:latin typeface="Cambria Math" panose="02040503050406030204" pitchFamily="18" charset="0"/>
                                <a:ea typeface="+mn-ea"/>
                                <a:cs typeface="+mn-cs"/>
                              </a:rPr>
                              <m:t>𝑇</m:t>
                            </m:r>
                          </m:e>
                          <m:sub>
                            <m:r>
                              <a:rPr lang="en-US" sz="1100" b="0" i="1">
                                <a:ln>
                                  <a:noFill/>
                                </a:ln>
                                <a:solidFill>
                                  <a:schemeClr val="tx1"/>
                                </a:solidFill>
                                <a:effectLst/>
                                <a:latin typeface="Cambria Math" panose="02040503050406030204" pitchFamily="18" charset="0"/>
                                <a:ea typeface="+mn-ea"/>
                                <a:cs typeface="+mn-cs"/>
                              </a:rPr>
                              <m:t>2</m:t>
                            </m:r>
                          </m:sub>
                        </m:sSub>
                        <m:r>
                          <a:rPr lang="en-US" sz="1100" b="0" i="1">
                            <a:ln>
                              <a:noFill/>
                            </a:ln>
                            <a:solidFill>
                              <a:schemeClr val="tx1"/>
                            </a:solidFill>
                            <a:effectLst/>
                            <a:latin typeface="Cambria Math" panose="02040503050406030204" pitchFamily="18" charset="0"/>
                            <a:ea typeface="+mn-ea"/>
                            <a:cs typeface="+mn-cs"/>
                          </a:rPr>
                          <m:t>−</m:t>
                        </m:r>
                        <m:sSub>
                          <m:sSubPr>
                            <m:ctrlPr>
                              <a:rPr lang="en-US" sz="1100" b="0" i="1">
                                <a:ln>
                                  <a:noFill/>
                                </a:ln>
                                <a:solidFill>
                                  <a:schemeClr val="tx1"/>
                                </a:solidFill>
                                <a:effectLst/>
                                <a:latin typeface="Cambria Math" panose="02040503050406030204" pitchFamily="18" charset="0"/>
                                <a:ea typeface="+mn-ea"/>
                                <a:cs typeface="+mn-cs"/>
                              </a:rPr>
                            </m:ctrlPr>
                          </m:sSubPr>
                          <m:e>
                            <m:r>
                              <a:rPr lang="en-US" sz="1100" b="0" i="1">
                                <a:ln>
                                  <a:noFill/>
                                </a:ln>
                                <a:solidFill>
                                  <a:schemeClr val="tx1"/>
                                </a:solidFill>
                                <a:effectLst/>
                                <a:latin typeface="Cambria Math" panose="02040503050406030204" pitchFamily="18" charset="0"/>
                                <a:ea typeface="+mn-ea"/>
                                <a:cs typeface="+mn-cs"/>
                              </a:rPr>
                              <m:t>𝑅</m:t>
                            </m:r>
                          </m:e>
                          <m:sub>
                            <m:r>
                              <a:rPr lang="en-US" sz="1100" b="0" i="1">
                                <a:ln>
                                  <a:noFill/>
                                </a:ln>
                                <a:solidFill>
                                  <a:schemeClr val="tx1"/>
                                </a:solidFill>
                                <a:effectLst/>
                                <a:latin typeface="Cambria Math" panose="02040503050406030204" pitchFamily="18" charset="0"/>
                                <a:ea typeface="+mn-ea"/>
                                <a:cs typeface="+mn-cs"/>
                              </a:rPr>
                              <m:t>1</m:t>
                            </m:r>
                          </m:sub>
                        </m:sSub>
                        <m:sSub>
                          <m:sSubPr>
                            <m:ctrlPr>
                              <a:rPr lang="en-US" sz="1100" b="0" i="1">
                                <a:ln>
                                  <a:noFill/>
                                </a:ln>
                                <a:solidFill>
                                  <a:schemeClr val="tx1"/>
                                </a:solidFill>
                                <a:effectLst/>
                                <a:latin typeface="Cambria Math" panose="02040503050406030204" pitchFamily="18" charset="0"/>
                                <a:ea typeface="+mn-ea"/>
                                <a:cs typeface="+mn-cs"/>
                              </a:rPr>
                            </m:ctrlPr>
                          </m:sSubPr>
                          <m:e>
                            <m:r>
                              <a:rPr lang="en-US" sz="1100" b="0" i="1">
                                <a:ln>
                                  <a:noFill/>
                                </a:ln>
                                <a:solidFill>
                                  <a:schemeClr val="tx1"/>
                                </a:solidFill>
                                <a:effectLst/>
                                <a:latin typeface="Cambria Math" panose="02040503050406030204" pitchFamily="18" charset="0"/>
                                <a:ea typeface="+mn-ea"/>
                                <a:cs typeface="+mn-cs"/>
                              </a:rPr>
                              <m:t>𝑇</m:t>
                            </m:r>
                          </m:e>
                          <m:sub>
                            <m:r>
                              <a:rPr lang="en-US" sz="1100" b="0" i="1">
                                <a:ln>
                                  <a:noFill/>
                                </a:ln>
                                <a:solidFill>
                                  <a:schemeClr val="tx1"/>
                                </a:solidFill>
                                <a:effectLst/>
                                <a:latin typeface="Cambria Math" panose="02040503050406030204" pitchFamily="18" charset="0"/>
                                <a:ea typeface="+mn-ea"/>
                                <a:cs typeface="+mn-cs"/>
                              </a:rPr>
                              <m:t>1</m:t>
                            </m:r>
                          </m:sub>
                        </m:sSub>
                      </m:num>
                      <m:den>
                        <m:sSub>
                          <m:sSubPr>
                            <m:ctrlPr>
                              <a:rPr lang="en-US" sz="1100" b="0" i="1">
                                <a:ln>
                                  <a:noFill/>
                                </a:ln>
                                <a:solidFill>
                                  <a:schemeClr val="tx1"/>
                                </a:solidFill>
                                <a:effectLst/>
                                <a:latin typeface="Cambria Math" panose="02040503050406030204" pitchFamily="18" charset="0"/>
                                <a:ea typeface="+mn-ea"/>
                                <a:cs typeface="+mn-cs"/>
                              </a:rPr>
                            </m:ctrlPr>
                          </m:sSubPr>
                          <m:e>
                            <m:r>
                              <a:rPr lang="en-US" sz="1100" b="0" i="1">
                                <a:ln>
                                  <a:noFill/>
                                </a:ln>
                                <a:solidFill>
                                  <a:schemeClr val="tx1"/>
                                </a:solidFill>
                                <a:effectLst/>
                                <a:latin typeface="Cambria Math" panose="02040503050406030204" pitchFamily="18" charset="0"/>
                                <a:ea typeface="+mn-ea"/>
                                <a:cs typeface="+mn-cs"/>
                              </a:rPr>
                              <m:t>𝑇</m:t>
                            </m:r>
                          </m:e>
                          <m:sub>
                            <m:r>
                              <a:rPr lang="en-US" sz="1100" b="0" i="1">
                                <a:ln>
                                  <a:noFill/>
                                </a:ln>
                                <a:solidFill>
                                  <a:schemeClr val="tx1"/>
                                </a:solidFill>
                                <a:effectLst/>
                                <a:latin typeface="Cambria Math" panose="02040503050406030204" pitchFamily="18" charset="0"/>
                                <a:ea typeface="+mn-ea"/>
                                <a:cs typeface="+mn-cs"/>
                              </a:rPr>
                              <m:t>2</m:t>
                            </m:r>
                          </m:sub>
                        </m:sSub>
                        <m:r>
                          <a:rPr lang="en-US" sz="1100" b="0" i="1">
                            <a:ln>
                              <a:noFill/>
                            </a:ln>
                            <a:solidFill>
                              <a:schemeClr val="tx1"/>
                            </a:solidFill>
                            <a:effectLst/>
                            <a:latin typeface="Cambria Math" panose="02040503050406030204" pitchFamily="18" charset="0"/>
                            <a:ea typeface="+mn-ea"/>
                            <a:cs typeface="+mn-cs"/>
                          </a:rPr>
                          <m:t>−</m:t>
                        </m:r>
                        <m:sSub>
                          <m:sSubPr>
                            <m:ctrlPr>
                              <a:rPr lang="en-US" sz="1100" b="0" i="1">
                                <a:ln>
                                  <a:noFill/>
                                </a:ln>
                                <a:solidFill>
                                  <a:schemeClr val="tx1"/>
                                </a:solidFill>
                                <a:effectLst/>
                                <a:latin typeface="Cambria Math" panose="02040503050406030204" pitchFamily="18" charset="0"/>
                                <a:ea typeface="+mn-ea"/>
                                <a:cs typeface="+mn-cs"/>
                              </a:rPr>
                            </m:ctrlPr>
                          </m:sSubPr>
                          <m:e>
                            <m:r>
                              <a:rPr lang="en-US" sz="1100" b="0" i="1">
                                <a:ln>
                                  <a:noFill/>
                                </a:ln>
                                <a:solidFill>
                                  <a:schemeClr val="tx1"/>
                                </a:solidFill>
                                <a:effectLst/>
                                <a:latin typeface="Cambria Math" panose="02040503050406030204" pitchFamily="18" charset="0"/>
                                <a:ea typeface="+mn-ea"/>
                                <a:cs typeface="+mn-cs"/>
                              </a:rPr>
                              <m:t>𝑇</m:t>
                            </m:r>
                          </m:e>
                          <m:sub>
                            <m:r>
                              <a:rPr lang="en-US" sz="1100" b="0" i="1">
                                <a:ln>
                                  <a:noFill/>
                                </a:ln>
                                <a:solidFill>
                                  <a:schemeClr val="tx1"/>
                                </a:solidFill>
                                <a:effectLst/>
                                <a:latin typeface="Cambria Math" panose="02040503050406030204" pitchFamily="18" charset="0"/>
                                <a:ea typeface="+mn-ea"/>
                                <a:cs typeface="+mn-cs"/>
                              </a:rPr>
                              <m:t>1</m:t>
                            </m:r>
                          </m:sub>
                        </m:sSub>
                      </m:den>
                    </m:f>
                  </m:oMath>
                </m:oMathPara>
              </a14:m>
              <a:endParaRPr lang="en-CA" sz="1100" kern="1200">
                <a:ln>
                  <a:noFill/>
                </a:ln>
              </a:endParaRPr>
            </a:p>
          </xdr:txBody>
        </xdr:sp>
      </mc:Choice>
      <mc:Fallback xmlns="">
        <xdr:sp macro="" textlink="">
          <xdr:nvSpPr>
            <xdr:cNvPr id="16" name="TextBox 15">
              <a:extLst>
                <a:ext uri="{FF2B5EF4-FFF2-40B4-BE49-F238E27FC236}">
                  <a16:creationId xmlns:a16="http://schemas.microsoft.com/office/drawing/2014/main" id="{857310BA-32C4-97C9-1F35-8ABBD529ED89}"/>
                </a:ext>
              </a:extLst>
            </xdr:cNvPr>
            <xdr:cNvSpPr txBox="1"/>
          </xdr:nvSpPr>
          <xdr:spPr>
            <a:xfrm>
              <a:off x="6397625" y="2679700"/>
              <a:ext cx="1539875" cy="452532"/>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kern="1200">
                  <a:ln>
                    <a:noFill/>
                  </a:ln>
                  <a:latin typeface="Cambria Math" panose="02040503050406030204" pitchFamily="18" charset="0"/>
                </a:rPr>
                <a:t>𝑅</a:t>
              </a:r>
              <a:r>
                <a:rPr lang="en-CA" sz="1100" b="0" i="0" kern="1200">
                  <a:ln>
                    <a:noFill/>
                  </a:ln>
                  <a:latin typeface="Cambria Math" panose="02040503050406030204" pitchFamily="18" charset="0"/>
                </a:rPr>
                <a:t>^</a:t>
              </a:r>
              <a:r>
                <a:rPr lang="en-US" sz="1100" b="0" i="0" kern="1200">
                  <a:ln>
                    <a:noFill/>
                  </a:ln>
                  <a:latin typeface="Cambria Math" panose="02040503050406030204" pitchFamily="18" charset="0"/>
                </a:rPr>
                <a:t>∗=</a:t>
              </a:r>
              <a:r>
                <a:rPr lang="en-US" sz="1100" b="0" i="0">
                  <a:ln>
                    <a:noFill/>
                  </a:ln>
                  <a:solidFill>
                    <a:schemeClr val="tx1"/>
                  </a:solidFill>
                  <a:effectLst/>
                  <a:latin typeface="+mn-lt"/>
                  <a:ea typeface="+mn-ea"/>
                  <a:cs typeface="+mn-cs"/>
                </a:rPr>
                <a:t>(𝑅_2 𝑇_2−𝑅_1 𝑇_1)/(𝑇_2−𝑇_1 )</a:t>
              </a:r>
              <a:endParaRPr lang="en-CA" sz="1100" kern="1200">
                <a:ln>
                  <a:noFill/>
                </a:ln>
              </a:endParaRPr>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twoCellAnchor>
    <xdr:from>
      <xdr:col>0</xdr:col>
      <xdr:colOff>762000</xdr:colOff>
      <xdr:row>4</xdr:row>
      <xdr:rowOff>152400</xdr:rowOff>
    </xdr:from>
    <xdr:to>
      <xdr:col>0</xdr:col>
      <xdr:colOff>762000</xdr:colOff>
      <xdr:row>7</xdr:row>
      <xdr:rowOff>9525</xdr:rowOff>
    </xdr:to>
    <xdr:sp macro="" textlink="">
      <xdr:nvSpPr>
        <xdr:cNvPr id="2" name="Line 1">
          <a:extLst>
            <a:ext uri="{FF2B5EF4-FFF2-40B4-BE49-F238E27FC236}">
              <a16:creationId xmlns:a16="http://schemas.microsoft.com/office/drawing/2014/main" id="{D2F62EAC-BC37-447A-A4BC-ECC4508D9B83}"/>
            </a:ext>
          </a:extLst>
        </xdr:cNvPr>
        <xdr:cNvSpPr>
          <a:spLocks noChangeShapeType="1"/>
        </xdr:cNvSpPr>
      </xdr:nvSpPr>
      <xdr:spPr bwMode="auto">
        <a:xfrm>
          <a:off x="520700" y="787400"/>
          <a:ext cx="0" cy="40957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1</xdr:col>
      <xdr:colOff>9525</xdr:colOff>
      <xdr:row>5</xdr:row>
      <xdr:rowOff>0</xdr:rowOff>
    </xdr:from>
    <xdr:to>
      <xdr:col>1</xdr:col>
      <xdr:colOff>9525</xdr:colOff>
      <xdr:row>7</xdr:row>
      <xdr:rowOff>19050</xdr:rowOff>
    </xdr:to>
    <xdr:sp macro="" textlink="">
      <xdr:nvSpPr>
        <xdr:cNvPr id="3" name="Line 3">
          <a:extLst>
            <a:ext uri="{FF2B5EF4-FFF2-40B4-BE49-F238E27FC236}">
              <a16:creationId xmlns:a16="http://schemas.microsoft.com/office/drawing/2014/main" id="{A0CF6999-5B66-45D9-A681-C6A9F89F04EB}"/>
            </a:ext>
          </a:extLst>
        </xdr:cNvPr>
        <xdr:cNvSpPr>
          <a:spLocks noChangeShapeType="1"/>
        </xdr:cNvSpPr>
      </xdr:nvSpPr>
      <xdr:spPr bwMode="auto">
        <a:xfrm>
          <a:off x="530225" y="831850"/>
          <a:ext cx="0" cy="374650"/>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editAs="oneCell">
    <xdr:from>
      <xdr:col>1</xdr:col>
      <xdr:colOff>419100</xdr:colOff>
      <xdr:row>4</xdr:row>
      <xdr:rowOff>76200</xdr:rowOff>
    </xdr:from>
    <xdr:to>
      <xdr:col>2</xdr:col>
      <xdr:colOff>104775</xdr:colOff>
      <xdr:row>7</xdr:row>
      <xdr:rowOff>28575</xdr:rowOff>
    </xdr:to>
    <xdr:pic>
      <xdr:nvPicPr>
        <xdr:cNvPr id="4" name="Picture 7">
          <a:extLst>
            <a:ext uri="{FF2B5EF4-FFF2-40B4-BE49-F238E27FC236}">
              <a16:creationId xmlns:a16="http://schemas.microsoft.com/office/drawing/2014/main" id="{1BF45E78-49CD-428A-8FE6-617FE78E84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0" y="711200"/>
          <a:ext cx="20637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542925</xdr:colOff>
      <xdr:row>4</xdr:row>
      <xdr:rowOff>180975</xdr:rowOff>
    </xdr:from>
    <xdr:to>
      <xdr:col>4</xdr:col>
      <xdr:colOff>66675</xdr:colOff>
      <xdr:row>6</xdr:row>
      <xdr:rowOff>190500</xdr:rowOff>
    </xdr:to>
    <xdr:pic>
      <xdr:nvPicPr>
        <xdr:cNvPr id="5" name="Picture 8">
          <a:extLst>
            <a:ext uri="{FF2B5EF4-FFF2-40B4-BE49-F238E27FC236}">
              <a16:creationId xmlns:a16="http://schemas.microsoft.com/office/drawing/2014/main" id="{E120FABD-0A35-40DC-B476-9952A223D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5675" y="815975"/>
          <a:ext cx="165100" cy="36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4</xdr:row>
      <xdr:rowOff>104775</xdr:rowOff>
    </xdr:from>
    <xdr:to>
      <xdr:col>5</xdr:col>
      <xdr:colOff>85725</xdr:colOff>
      <xdr:row>7</xdr:row>
      <xdr:rowOff>0</xdr:rowOff>
    </xdr:to>
    <xdr:pic>
      <xdr:nvPicPr>
        <xdr:cNvPr id="6" name="Picture 9">
          <a:extLst>
            <a:ext uri="{FF2B5EF4-FFF2-40B4-BE49-F238E27FC236}">
              <a16:creationId xmlns:a16="http://schemas.microsoft.com/office/drawing/2014/main" id="{BED97C88-691F-485B-81E6-7EC5D44A0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739775"/>
          <a:ext cx="1841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438150</xdr:colOff>
      <xdr:row>4</xdr:row>
      <xdr:rowOff>76200</xdr:rowOff>
    </xdr:from>
    <xdr:to>
      <xdr:col>6</xdr:col>
      <xdr:colOff>95250</xdr:colOff>
      <xdr:row>6</xdr:row>
      <xdr:rowOff>152400</xdr:rowOff>
    </xdr:to>
    <xdr:pic>
      <xdr:nvPicPr>
        <xdr:cNvPr id="7" name="Picture 10">
          <a:extLst>
            <a:ext uri="{FF2B5EF4-FFF2-40B4-BE49-F238E27FC236}">
              <a16:creationId xmlns:a16="http://schemas.microsoft.com/office/drawing/2014/main" id="{A4C4121F-C72D-4B0C-BC83-9614BBF11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9300" y="711200"/>
          <a:ext cx="18415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7</xdr:row>
      <xdr:rowOff>9525</xdr:rowOff>
    </xdr:from>
    <xdr:to>
      <xdr:col>1</xdr:col>
      <xdr:colOff>9525</xdr:colOff>
      <xdr:row>10</xdr:row>
      <xdr:rowOff>66675</xdr:rowOff>
    </xdr:to>
    <xdr:sp macro="" textlink="">
      <xdr:nvSpPr>
        <xdr:cNvPr id="8" name="Line 11">
          <a:extLst>
            <a:ext uri="{FF2B5EF4-FFF2-40B4-BE49-F238E27FC236}">
              <a16:creationId xmlns:a16="http://schemas.microsoft.com/office/drawing/2014/main" id="{AEA5004F-7A02-4DE5-9099-E27751300C22}"/>
            </a:ext>
          </a:extLst>
        </xdr:cNvPr>
        <xdr:cNvSpPr>
          <a:spLocks noChangeShapeType="1"/>
        </xdr:cNvSpPr>
      </xdr:nvSpPr>
      <xdr:spPr bwMode="auto">
        <a:xfrm>
          <a:off x="530225" y="1196975"/>
          <a:ext cx="0" cy="533400"/>
        </a:xfrm>
        <a:prstGeom prst="line">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7</xdr:row>
      <xdr:rowOff>9525</xdr:rowOff>
    </xdr:from>
    <xdr:to>
      <xdr:col>2</xdr:col>
      <xdr:colOff>0</xdr:colOff>
      <xdr:row>13</xdr:row>
      <xdr:rowOff>28575</xdr:rowOff>
    </xdr:to>
    <xdr:sp macro="" textlink="">
      <xdr:nvSpPr>
        <xdr:cNvPr id="9" name="Line 12">
          <a:extLst>
            <a:ext uri="{FF2B5EF4-FFF2-40B4-BE49-F238E27FC236}">
              <a16:creationId xmlns:a16="http://schemas.microsoft.com/office/drawing/2014/main" id="{A5347D43-A932-4E9C-AD70-F56112F4F86E}"/>
            </a:ext>
          </a:extLst>
        </xdr:cNvPr>
        <xdr:cNvSpPr>
          <a:spLocks noChangeShapeType="1"/>
        </xdr:cNvSpPr>
      </xdr:nvSpPr>
      <xdr:spPr bwMode="auto">
        <a:xfrm>
          <a:off x="1041400" y="1196975"/>
          <a:ext cx="0" cy="97155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7</xdr:row>
      <xdr:rowOff>9525</xdr:rowOff>
    </xdr:from>
    <xdr:to>
      <xdr:col>4</xdr:col>
      <xdr:colOff>0</xdr:colOff>
      <xdr:row>11</xdr:row>
      <xdr:rowOff>114300</xdr:rowOff>
    </xdr:to>
    <xdr:sp macro="" textlink="">
      <xdr:nvSpPr>
        <xdr:cNvPr id="10" name="Line 14">
          <a:extLst>
            <a:ext uri="{FF2B5EF4-FFF2-40B4-BE49-F238E27FC236}">
              <a16:creationId xmlns:a16="http://schemas.microsoft.com/office/drawing/2014/main" id="{E4637DDF-C0BF-4660-AC8E-CD7ED33AD5CD}"/>
            </a:ext>
          </a:extLst>
        </xdr:cNvPr>
        <xdr:cNvSpPr>
          <a:spLocks noChangeShapeType="1"/>
        </xdr:cNvSpPr>
      </xdr:nvSpPr>
      <xdr:spPr bwMode="auto">
        <a:xfrm>
          <a:off x="2324100" y="1196975"/>
          <a:ext cx="0" cy="73977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7</xdr:row>
      <xdr:rowOff>9525</xdr:rowOff>
    </xdr:from>
    <xdr:to>
      <xdr:col>5</xdr:col>
      <xdr:colOff>0</xdr:colOff>
      <xdr:row>13</xdr:row>
      <xdr:rowOff>142875</xdr:rowOff>
    </xdr:to>
    <xdr:sp macro="" textlink="">
      <xdr:nvSpPr>
        <xdr:cNvPr id="11" name="Line 15">
          <a:extLst>
            <a:ext uri="{FF2B5EF4-FFF2-40B4-BE49-F238E27FC236}">
              <a16:creationId xmlns:a16="http://schemas.microsoft.com/office/drawing/2014/main" id="{B03332EE-B4A0-499C-AB75-BA153CDCFD58}"/>
            </a:ext>
          </a:extLst>
        </xdr:cNvPr>
        <xdr:cNvSpPr>
          <a:spLocks noChangeShapeType="1"/>
        </xdr:cNvSpPr>
      </xdr:nvSpPr>
      <xdr:spPr bwMode="auto">
        <a:xfrm>
          <a:off x="2851150" y="1196975"/>
          <a:ext cx="0" cy="108585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xdr:row>
      <xdr:rowOff>0</xdr:rowOff>
    </xdr:from>
    <xdr:to>
      <xdr:col>6</xdr:col>
      <xdr:colOff>0</xdr:colOff>
      <xdr:row>8</xdr:row>
      <xdr:rowOff>133350</xdr:rowOff>
    </xdr:to>
    <xdr:sp macro="" textlink="">
      <xdr:nvSpPr>
        <xdr:cNvPr id="12" name="Line 16">
          <a:extLst>
            <a:ext uri="{FF2B5EF4-FFF2-40B4-BE49-F238E27FC236}">
              <a16:creationId xmlns:a16="http://schemas.microsoft.com/office/drawing/2014/main" id="{38842423-92B4-40B3-96DA-6B5AE4746C1A}"/>
            </a:ext>
          </a:extLst>
        </xdr:cNvPr>
        <xdr:cNvSpPr>
          <a:spLocks noChangeShapeType="1"/>
        </xdr:cNvSpPr>
      </xdr:nvSpPr>
      <xdr:spPr bwMode="auto">
        <a:xfrm>
          <a:off x="3378200" y="1187450"/>
          <a:ext cx="0" cy="29210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276225</xdr:colOff>
      <xdr:row>20</xdr:row>
      <xdr:rowOff>85725</xdr:rowOff>
    </xdr:from>
    <xdr:to>
      <xdr:col>0</xdr:col>
      <xdr:colOff>352425</xdr:colOff>
      <xdr:row>21</xdr:row>
      <xdr:rowOff>0</xdr:rowOff>
    </xdr:to>
    <xdr:sp macro="" textlink="">
      <xdr:nvSpPr>
        <xdr:cNvPr id="13" name="AutoShape 17">
          <a:extLst>
            <a:ext uri="{FF2B5EF4-FFF2-40B4-BE49-F238E27FC236}">
              <a16:creationId xmlns:a16="http://schemas.microsoft.com/office/drawing/2014/main" id="{7252A678-223A-492A-8712-1D9987D07EFA}"/>
            </a:ext>
          </a:extLst>
        </xdr:cNvPr>
        <xdr:cNvSpPr>
          <a:spLocks noChangeArrowheads="1"/>
        </xdr:cNvSpPr>
      </xdr:nvSpPr>
      <xdr:spPr bwMode="auto">
        <a:xfrm>
          <a:off x="276225" y="3489325"/>
          <a:ext cx="76200" cy="73025"/>
        </a:xfrm>
        <a:prstGeom prst="flowChartConnector">
          <a:avLst/>
        </a:prstGeom>
        <a:solidFill>
          <a:srgbClr val="000000"/>
        </a:solidFill>
        <a:ln w="9525">
          <a:solidFill>
            <a:srgbClr val="000000"/>
          </a:solidFill>
          <a:round/>
          <a:headEnd/>
          <a:tailEnd/>
        </a:ln>
      </xdr:spPr>
    </xdr:sp>
    <xdr:clientData/>
  </xdr:twoCellAnchor>
  <xdr:twoCellAnchor>
    <xdr:from>
      <xdr:col>0</xdr:col>
      <xdr:colOff>257175</xdr:colOff>
      <xdr:row>22</xdr:row>
      <xdr:rowOff>76200</xdr:rowOff>
    </xdr:from>
    <xdr:to>
      <xdr:col>0</xdr:col>
      <xdr:colOff>333375</xdr:colOff>
      <xdr:row>22</xdr:row>
      <xdr:rowOff>152400</xdr:rowOff>
    </xdr:to>
    <xdr:sp macro="" textlink="">
      <xdr:nvSpPr>
        <xdr:cNvPr id="14" name="AutoShape 18">
          <a:extLst>
            <a:ext uri="{FF2B5EF4-FFF2-40B4-BE49-F238E27FC236}">
              <a16:creationId xmlns:a16="http://schemas.microsoft.com/office/drawing/2014/main" id="{FD3724C7-2386-4E4A-B34A-23FE05B94378}"/>
            </a:ext>
          </a:extLst>
        </xdr:cNvPr>
        <xdr:cNvSpPr>
          <a:spLocks noChangeArrowheads="1"/>
        </xdr:cNvSpPr>
      </xdr:nvSpPr>
      <xdr:spPr bwMode="auto">
        <a:xfrm>
          <a:off x="257175" y="3797300"/>
          <a:ext cx="76200" cy="76200"/>
        </a:xfrm>
        <a:prstGeom prst="flowChartConnector">
          <a:avLst/>
        </a:prstGeom>
        <a:solidFill>
          <a:srgbClr val="000000"/>
        </a:solidFill>
        <a:ln w="9525">
          <a:solidFill>
            <a:srgbClr val="000000"/>
          </a:solidFill>
          <a:round/>
          <a:headEnd/>
          <a:tailEnd/>
        </a:ln>
      </xdr:spPr>
    </xdr:sp>
    <xdr:clientData/>
  </xdr:twoCellAnchor>
  <xdr:twoCellAnchor>
    <xdr:from>
      <xdr:col>0</xdr:col>
      <xdr:colOff>257175</xdr:colOff>
      <xdr:row>24</xdr:row>
      <xdr:rowOff>47625</xdr:rowOff>
    </xdr:from>
    <xdr:to>
      <xdr:col>0</xdr:col>
      <xdr:colOff>333375</xdr:colOff>
      <xdr:row>24</xdr:row>
      <xdr:rowOff>114300</xdr:rowOff>
    </xdr:to>
    <xdr:sp macro="" textlink="">
      <xdr:nvSpPr>
        <xdr:cNvPr id="15" name="AutoShape 19">
          <a:extLst>
            <a:ext uri="{FF2B5EF4-FFF2-40B4-BE49-F238E27FC236}">
              <a16:creationId xmlns:a16="http://schemas.microsoft.com/office/drawing/2014/main" id="{784F8223-6B9B-4CB7-B51B-88E28F956AB7}"/>
            </a:ext>
          </a:extLst>
        </xdr:cNvPr>
        <xdr:cNvSpPr>
          <a:spLocks noChangeArrowheads="1"/>
        </xdr:cNvSpPr>
      </xdr:nvSpPr>
      <xdr:spPr bwMode="auto">
        <a:xfrm>
          <a:off x="257175" y="4086225"/>
          <a:ext cx="76200" cy="66675"/>
        </a:xfrm>
        <a:prstGeom prst="flowChartConnector">
          <a:avLst/>
        </a:prstGeom>
        <a:solidFill>
          <a:srgbClr val="000000"/>
        </a:solidFill>
        <a:ln w="9525">
          <a:solidFill>
            <a:srgbClr val="000000"/>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254001</xdr:colOff>
      <xdr:row>8</xdr:row>
      <xdr:rowOff>10584</xdr:rowOff>
    </xdr:from>
    <xdr:to>
      <xdr:col>0</xdr:col>
      <xdr:colOff>330201</xdr:colOff>
      <xdr:row>8</xdr:row>
      <xdr:rowOff>120651</xdr:rowOff>
    </xdr:to>
    <xdr:sp macro="" textlink="">
      <xdr:nvSpPr>
        <xdr:cNvPr id="2" name="AutoShape 17">
          <a:extLst>
            <a:ext uri="{FF2B5EF4-FFF2-40B4-BE49-F238E27FC236}">
              <a16:creationId xmlns:a16="http://schemas.microsoft.com/office/drawing/2014/main" id="{2A2F9663-5138-40CA-859C-B41AA22A2AE0}"/>
            </a:ext>
          </a:extLst>
        </xdr:cNvPr>
        <xdr:cNvSpPr>
          <a:spLocks noChangeArrowheads="1"/>
        </xdr:cNvSpPr>
      </xdr:nvSpPr>
      <xdr:spPr bwMode="auto">
        <a:xfrm>
          <a:off x="254001" y="1515534"/>
          <a:ext cx="76200" cy="110067"/>
        </a:xfrm>
        <a:prstGeom prst="flowChartConnector">
          <a:avLst/>
        </a:prstGeom>
        <a:solidFill>
          <a:srgbClr val="000000"/>
        </a:solidFill>
        <a:ln w="9525">
          <a:solidFill>
            <a:srgbClr val="000000"/>
          </a:solidFill>
          <a:round/>
          <a:headEnd/>
          <a:tailEnd/>
        </a:ln>
      </xdr:spPr>
    </xdr:sp>
    <xdr:clientData/>
  </xdr:twoCellAnchor>
  <xdr:twoCellAnchor>
    <xdr:from>
      <xdr:col>0</xdr:col>
      <xdr:colOff>238135</xdr:colOff>
      <xdr:row>10</xdr:row>
      <xdr:rowOff>5292</xdr:rowOff>
    </xdr:from>
    <xdr:to>
      <xdr:col>0</xdr:col>
      <xdr:colOff>314335</xdr:colOff>
      <xdr:row>10</xdr:row>
      <xdr:rowOff>115359</xdr:rowOff>
    </xdr:to>
    <xdr:sp macro="" textlink="">
      <xdr:nvSpPr>
        <xdr:cNvPr id="3" name="AutoShape 17">
          <a:extLst>
            <a:ext uri="{FF2B5EF4-FFF2-40B4-BE49-F238E27FC236}">
              <a16:creationId xmlns:a16="http://schemas.microsoft.com/office/drawing/2014/main" id="{14C5C5FC-C8F2-42A8-B068-7D1B4B6F7F2F}"/>
            </a:ext>
          </a:extLst>
        </xdr:cNvPr>
        <xdr:cNvSpPr>
          <a:spLocks noChangeArrowheads="1"/>
        </xdr:cNvSpPr>
      </xdr:nvSpPr>
      <xdr:spPr bwMode="auto">
        <a:xfrm>
          <a:off x="238135" y="1827742"/>
          <a:ext cx="76200" cy="110067"/>
        </a:xfrm>
        <a:prstGeom prst="flowChartConnector">
          <a:avLst/>
        </a:prstGeom>
        <a:solidFill>
          <a:srgbClr val="000000"/>
        </a:solidFill>
        <a:ln w="9525">
          <a:solidFill>
            <a:srgbClr val="000000"/>
          </a:solidFill>
          <a:round/>
          <a:headEnd/>
          <a:tailEnd/>
        </a:ln>
      </xdr:spPr>
    </xdr:sp>
    <xdr:clientData/>
  </xdr:twoCellAnchor>
  <xdr:twoCellAnchor>
    <xdr:from>
      <xdr:col>0</xdr:col>
      <xdr:colOff>227551</xdr:colOff>
      <xdr:row>11</xdr:row>
      <xdr:rowOff>137588</xdr:rowOff>
    </xdr:from>
    <xdr:to>
      <xdr:col>0</xdr:col>
      <xdr:colOff>303751</xdr:colOff>
      <xdr:row>12</xdr:row>
      <xdr:rowOff>51863</xdr:rowOff>
    </xdr:to>
    <xdr:sp macro="" textlink="">
      <xdr:nvSpPr>
        <xdr:cNvPr id="4" name="AutoShape 17">
          <a:extLst>
            <a:ext uri="{FF2B5EF4-FFF2-40B4-BE49-F238E27FC236}">
              <a16:creationId xmlns:a16="http://schemas.microsoft.com/office/drawing/2014/main" id="{1AF6EE78-DD8B-4F8E-BDE0-9C4F47DCB65F}"/>
            </a:ext>
          </a:extLst>
        </xdr:cNvPr>
        <xdr:cNvSpPr>
          <a:spLocks noChangeArrowheads="1"/>
        </xdr:cNvSpPr>
      </xdr:nvSpPr>
      <xdr:spPr bwMode="auto">
        <a:xfrm>
          <a:off x="227551" y="2118788"/>
          <a:ext cx="76200" cy="73025"/>
        </a:xfrm>
        <a:prstGeom prst="flowChartConnector">
          <a:avLst/>
        </a:prstGeom>
        <a:solidFill>
          <a:srgbClr val="000000"/>
        </a:solidFill>
        <a:ln w="9525">
          <a:solidFill>
            <a:srgbClr val="000000"/>
          </a:solidFill>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254001</xdr:colOff>
      <xdr:row>8</xdr:row>
      <xdr:rowOff>10584</xdr:rowOff>
    </xdr:from>
    <xdr:to>
      <xdr:col>0</xdr:col>
      <xdr:colOff>330201</xdr:colOff>
      <xdr:row>8</xdr:row>
      <xdr:rowOff>120651</xdr:rowOff>
    </xdr:to>
    <xdr:sp macro="" textlink="">
      <xdr:nvSpPr>
        <xdr:cNvPr id="2" name="AutoShape 17">
          <a:extLst>
            <a:ext uri="{FF2B5EF4-FFF2-40B4-BE49-F238E27FC236}">
              <a16:creationId xmlns:a16="http://schemas.microsoft.com/office/drawing/2014/main" id="{58001B7E-05CE-4325-995F-56D27B6193B7}"/>
            </a:ext>
          </a:extLst>
        </xdr:cNvPr>
        <xdr:cNvSpPr>
          <a:spLocks noChangeArrowheads="1"/>
        </xdr:cNvSpPr>
      </xdr:nvSpPr>
      <xdr:spPr bwMode="auto">
        <a:xfrm>
          <a:off x="254001" y="1515534"/>
          <a:ext cx="76200" cy="110067"/>
        </a:xfrm>
        <a:prstGeom prst="flowChartConnector">
          <a:avLst/>
        </a:prstGeom>
        <a:solidFill>
          <a:srgbClr val="000000"/>
        </a:solidFill>
        <a:ln w="9525">
          <a:solidFill>
            <a:srgbClr val="000000"/>
          </a:solidFill>
          <a:round/>
          <a:headEnd/>
          <a:tailEnd/>
        </a:ln>
      </xdr:spPr>
    </xdr:sp>
    <xdr:clientData/>
  </xdr:twoCellAnchor>
  <xdr:twoCellAnchor>
    <xdr:from>
      <xdr:col>0</xdr:col>
      <xdr:colOff>238135</xdr:colOff>
      <xdr:row>10</xdr:row>
      <xdr:rowOff>5292</xdr:rowOff>
    </xdr:from>
    <xdr:to>
      <xdr:col>0</xdr:col>
      <xdr:colOff>314335</xdr:colOff>
      <xdr:row>10</xdr:row>
      <xdr:rowOff>115359</xdr:rowOff>
    </xdr:to>
    <xdr:sp macro="" textlink="">
      <xdr:nvSpPr>
        <xdr:cNvPr id="3" name="AutoShape 17">
          <a:extLst>
            <a:ext uri="{FF2B5EF4-FFF2-40B4-BE49-F238E27FC236}">
              <a16:creationId xmlns:a16="http://schemas.microsoft.com/office/drawing/2014/main" id="{B3EBCA1F-1087-4D5D-96B4-2B7821D4345F}"/>
            </a:ext>
          </a:extLst>
        </xdr:cNvPr>
        <xdr:cNvSpPr>
          <a:spLocks noChangeArrowheads="1"/>
        </xdr:cNvSpPr>
      </xdr:nvSpPr>
      <xdr:spPr bwMode="auto">
        <a:xfrm>
          <a:off x="238135" y="1827742"/>
          <a:ext cx="76200" cy="110067"/>
        </a:xfrm>
        <a:prstGeom prst="flowChartConnector">
          <a:avLst/>
        </a:prstGeom>
        <a:solidFill>
          <a:srgbClr val="000000"/>
        </a:solidFill>
        <a:ln w="9525">
          <a:solidFill>
            <a:srgbClr val="000000"/>
          </a:solidFill>
          <a:round/>
          <a:headEnd/>
          <a:tailEnd/>
        </a:ln>
      </xdr:spPr>
    </xdr:sp>
    <xdr:clientData/>
  </xdr:twoCellAnchor>
  <xdr:twoCellAnchor>
    <xdr:from>
      <xdr:col>0</xdr:col>
      <xdr:colOff>227551</xdr:colOff>
      <xdr:row>11</xdr:row>
      <xdr:rowOff>137588</xdr:rowOff>
    </xdr:from>
    <xdr:to>
      <xdr:col>0</xdr:col>
      <xdr:colOff>303751</xdr:colOff>
      <xdr:row>12</xdr:row>
      <xdr:rowOff>51863</xdr:rowOff>
    </xdr:to>
    <xdr:sp macro="" textlink="">
      <xdr:nvSpPr>
        <xdr:cNvPr id="4" name="AutoShape 17">
          <a:extLst>
            <a:ext uri="{FF2B5EF4-FFF2-40B4-BE49-F238E27FC236}">
              <a16:creationId xmlns:a16="http://schemas.microsoft.com/office/drawing/2014/main" id="{6496A60B-D014-465A-B73E-8B2EE18D23F5}"/>
            </a:ext>
          </a:extLst>
        </xdr:cNvPr>
        <xdr:cNvSpPr>
          <a:spLocks noChangeArrowheads="1"/>
        </xdr:cNvSpPr>
      </xdr:nvSpPr>
      <xdr:spPr bwMode="auto">
        <a:xfrm>
          <a:off x="227551" y="2118788"/>
          <a:ext cx="76200" cy="73025"/>
        </a:xfrm>
        <a:prstGeom prst="flowChartConnector">
          <a:avLst/>
        </a:prstGeom>
        <a:solidFill>
          <a:srgbClr val="000000"/>
        </a:solidFill>
        <a:ln w="9525">
          <a:solidFill>
            <a:srgbClr val="000000"/>
          </a:solidFill>
          <a:round/>
          <a:headEnd/>
          <a:tailEnd/>
        </a:ln>
      </xdr:spPr>
    </xdr:sp>
    <xdr:clientData/>
  </xdr:twoCellAnchor>
  <xdr:oneCellAnchor>
    <xdr:from>
      <xdr:col>1</xdr:col>
      <xdr:colOff>349778</xdr:colOff>
      <xdr:row>16</xdr:row>
      <xdr:rowOff>146050</xdr:rowOff>
    </xdr:from>
    <xdr:ext cx="1586140" cy="40992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D386137-4B9A-40C7-BC98-BE18A8535DD3}"/>
                </a:ext>
              </a:extLst>
            </xdr:cNvPr>
            <xdr:cNvSpPr txBox="1"/>
          </xdr:nvSpPr>
          <xdr:spPr>
            <a:xfrm>
              <a:off x="991128" y="2997200"/>
              <a:ext cx="1586140" cy="40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en-CA" sz="1100" i="1">
                            <a:latin typeface="Cambria Math" panose="02040503050406030204" pitchFamily="18" charset="0"/>
                          </a:rPr>
                        </m:ctrlPr>
                      </m:naryPr>
                      <m:sub/>
                      <m:sup/>
                      <m:e>
                        <m:sSub>
                          <m:sSubPr>
                            <m:ctrlPr>
                              <a:rPr lang="en-US" sz="1100" b="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m:t>
                            </m:r>
                          </m:sub>
                        </m:sSub>
                        <m:r>
                          <a:rPr lang="en-US" sz="1100" b="0" i="1">
                            <a:latin typeface="Cambria Math" panose="02040503050406030204" pitchFamily="18" charset="0"/>
                          </a:rPr>
                          <m:t>𝐷𝑓</m:t>
                        </m:r>
                        <m:r>
                          <a:rPr lang="en-US" sz="1100" b="0" i="1">
                            <a:latin typeface="Cambria Math" panose="02040503050406030204" pitchFamily="18" charset="0"/>
                          </a:rPr>
                          <m:t>(0,</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1</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2</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m:t>
                            </m:r>
                          </m:sub>
                        </m:sSub>
                        <m:r>
                          <a:rPr lang="en-US" sz="1100" b="0" i="1">
                            <a:latin typeface="Cambria Math" panose="02040503050406030204" pitchFamily="18" charset="0"/>
                          </a:rPr>
                          <m:t>)</m:t>
                        </m:r>
                      </m:e>
                    </m:nary>
                  </m:oMath>
                </m:oMathPara>
              </a14:m>
              <a:endParaRPr lang="en-CA" sz="1100"/>
            </a:p>
          </xdr:txBody>
        </xdr:sp>
      </mc:Choice>
      <mc:Fallback xmlns="">
        <xdr:sp macro="" textlink="">
          <xdr:nvSpPr>
            <xdr:cNvPr id="5" name="TextBox 4">
              <a:extLst>
                <a:ext uri="{FF2B5EF4-FFF2-40B4-BE49-F238E27FC236}">
                  <a16:creationId xmlns:a16="http://schemas.microsoft.com/office/drawing/2014/main" id="{BD386137-4B9A-40C7-BC98-BE18A8535DD3}"/>
                </a:ext>
              </a:extLst>
            </xdr:cNvPr>
            <xdr:cNvSpPr txBox="1"/>
          </xdr:nvSpPr>
          <xdr:spPr>
            <a:xfrm>
              <a:off x="991128" y="2997200"/>
              <a:ext cx="1586140" cy="40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CA" sz="1100" i="0">
                  <a:latin typeface="Cambria Math" panose="02040503050406030204" pitchFamily="18" charset="0"/>
                </a:rPr>
                <a:t>∑</a:t>
              </a:r>
              <a:r>
                <a:rPr lang="en-US" sz="1100" b="0" i="0">
                  <a:latin typeface="Cambria Math" panose="02040503050406030204" pitchFamily="18" charset="0"/>
                </a:rPr>
                <a:t>▒</a:t>
              </a:r>
              <a:r>
                <a:rPr lang="en-CA" sz="1100" b="0" i="0">
                  <a:latin typeface="Cambria Math" panose="02040503050406030204" pitchFamily="18" charset="0"/>
                </a:rPr>
                <a:t>〖</a:t>
              </a:r>
              <a:r>
                <a:rPr lang="en-US" sz="1100" b="0" i="0">
                  <a:latin typeface="Cambria Math" panose="02040503050406030204" pitchFamily="18" charset="0"/>
                </a:rPr>
                <a:t>𝑡_𝑖 𝐷𝑓(0,</a:t>
              </a:r>
              <a:r>
                <a:rPr lang="en-US" sz="1100" b="0" i="0">
                  <a:solidFill>
                    <a:schemeClr val="tx1"/>
                  </a:solidFill>
                  <a:effectLst/>
                  <a:latin typeface="Cambria Math" panose="02040503050406030204" pitchFamily="18" charset="0"/>
                  <a:ea typeface="+mn-ea"/>
                  <a:cs typeface="+mn-cs"/>
                </a:rPr>
                <a:t>𝑡_1+𝑡_2+..+𝑡_𝑖</a:t>
              </a:r>
              <a:r>
                <a:rPr lang="en-US" sz="1100" b="0" i="0">
                  <a:latin typeface="Cambria Math" panose="02040503050406030204" pitchFamily="18" charset="0"/>
                </a:rPr>
                <a:t>)</a:t>
              </a:r>
              <a:r>
                <a:rPr lang="en-CA" sz="1100" b="0" i="0">
                  <a:latin typeface="Cambria Math" panose="02040503050406030204" pitchFamily="18" charset="0"/>
                </a:rPr>
                <a:t>〗</a:t>
              </a:r>
              <a:endParaRPr lang="en-CA" sz="1100"/>
            </a:p>
          </xdr:txBody>
        </xdr:sp>
      </mc:Fallback>
    </mc:AlternateContent>
    <xdr:clientData/>
  </xdr:oneCellAnchor>
  <xdr:oneCellAnchor>
    <xdr:from>
      <xdr:col>2</xdr:col>
      <xdr:colOff>185212</xdr:colOff>
      <xdr:row>16</xdr:row>
      <xdr:rowOff>137583</xdr:rowOff>
    </xdr:from>
    <xdr:ext cx="3721788" cy="40992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AB5A3B8-BC7E-4229-904F-EED28318AFFC}"/>
                </a:ext>
              </a:extLst>
            </xdr:cNvPr>
            <xdr:cNvSpPr txBox="1"/>
          </xdr:nvSpPr>
          <xdr:spPr>
            <a:xfrm>
              <a:off x="3042712" y="2988733"/>
              <a:ext cx="3721788" cy="40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en-CA" sz="1100" i="1">
                            <a:latin typeface="Cambria Math" panose="02040503050406030204" pitchFamily="18" charset="0"/>
                          </a:rPr>
                        </m:ctrlPr>
                      </m:naryPr>
                      <m:sub/>
                      <m:sup/>
                      <m:e>
                        <m:r>
                          <a:rPr lang="en-US" sz="1100" b="0" i="1">
                            <a:latin typeface="Cambria Math" panose="02040503050406030204" pitchFamily="18" charset="0"/>
                          </a:rPr>
                          <m:t>𝐹𝑅</m:t>
                        </m:r>
                        <m:d>
                          <m:dPr>
                            <m:ctrlPr>
                              <a:rPr lang="en-US" sz="1100" b="0" i="1">
                                <a:solidFill>
                                  <a:schemeClr val="tx1"/>
                                </a:solidFill>
                                <a:effectLst/>
                                <a:latin typeface="Cambria Math" panose="02040503050406030204" pitchFamily="18" charset="0"/>
                                <a:ea typeface="+mn-ea"/>
                                <a:cs typeface="+mn-cs"/>
                              </a:rPr>
                            </m:ctrlPr>
                          </m:d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1</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2</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−1</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1</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2</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m:t>
                                </m:r>
                              </m:sub>
                            </m:sSub>
                          </m:e>
                        </m:d>
                        <m:r>
                          <a:rPr lang="en-US" sz="1100" b="0" i="1">
                            <a:solidFill>
                              <a:schemeClr val="tx1"/>
                            </a:solidFill>
                            <a:effectLst/>
                            <a:latin typeface="Cambria Math" panose="02040503050406030204" pitchFamily="18" charset="0"/>
                            <a:ea typeface="+mn-ea"/>
                            <a:cs typeface="+mn-cs"/>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m:t>
                            </m:r>
                          </m:sub>
                        </m:sSub>
                        <m:r>
                          <a:rPr lang="en-US" sz="1100" b="0" i="1">
                            <a:latin typeface="Cambria Math" panose="02040503050406030204" pitchFamily="18" charset="0"/>
                          </a:rPr>
                          <m:t>𝐷𝑓</m:t>
                        </m:r>
                        <m:r>
                          <a:rPr lang="en-US" sz="1100" b="0" i="1">
                            <a:latin typeface="Cambria Math" panose="02040503050406030204" pitchFamily="18" charset="0"/>
                          </a:rPr>
                          <m:t>(0,</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1</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2</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m:t>
                            </m:r>
                          </m:sub>
                        </m:sSub>
                        <m:r>
                          <a:rPr lang="en-US" sz="1100" b="0" i="1">
                            <a:latin typeface="Cambria Math" panose="02040503050406030204" pitchFamily="18" charset="0"/>
                          </a:rPr>
                          <m:t>)</m:t>
                        </m:r>
                      </m:e>
                    </m:nary>
                  </m:oMath>
                </m:oMathPara>
              </a14:m>
              <a:endParaRPr lang="en-CA" sz="1100"/>
            </a:p>
          </xdr:txBody>
        </xdr:sp>
      </mc:Choice>
      <mc:Fallback xmlns="">
        <xdr:sp macro="" textlink="">
          <xdr:nvSpPr>
            <xdr:cNvPr id="6" name="TextBox 5">
              <a:extLst>
                <a:ext uri="{FF2B5EF4-FFF2-40B4-BE49-F238E27FC236}">
                  <a16:creationId xmlns:a16="http://schemas.microsoft.com/office/drawing/2014/main" id="{4AB5A3B8-BC7E-4229-904F-EED28318AFFC}"/>
                </a:ext>
              </a:extLst>
            </xdr:cNvPr>
            <xdr:cNvSpPr txBox="1"/>
          </xdr:nvSpPr>
          <xdr:spPr>
            <a:xfrm>
              <a:off x="3042712" y="2988733"/>
              <a:ext cx="3721788" cy="40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CA" sz="1100" i="0">
                  <a:latin typeface="Cambria Math" panose="02040503050406030204" pitchFamily="18" charset="0"/>
                </a:rPr>
                <a:t>∑</a:t>
              </a:r>
              <a:r>
                <a:rPr lang="en-US" sz="1100" b="0" i="0">
                  <a:latin typeface="Cambria Math" panose="02040503050406030204" pitchFamily="18" charset="0"/>
                </a:rPr>
                <a:t>▒</a:t>
              </a:r>
              <a:r>
                <a:rPr lang="en-CA" sz="1100" b="0" i="0">
                  <a:latin typeface="Cambria Math" panose="02040503050406030204" pitchFamily="18" charset="0"/>
                </a:rPr>
                <a:t>〖</a:t>
              </a:r>
              <a:r>
                <a:rPr lang="en-US" sz="1100" b="0" i="0">
                  <a:latin typeface="Cambria Math" panose="02040503050406030204" pitchFamily="18" charset="0"/>
                </a:rPr>
                <a:t>𝐹𝑅</a:t>
              </a:r>
              <a:r>
                <a:rPr lang="en-US" sz="1100" b="0" i="0">
                  <a:solidFill>
                    <a:schemeClr val="tx1"/>
                  </a:solidFill>
                  <a:effectLst/>
                  <a:latin typeface="Cambria Math" panose="02040503050406030204" pitchFamily="18" charset="0"/>
                  <a:ea typeface="+mn-ea"/>
                  <a:cs typeface="+mn-cs"/>
                </a:rPr>
                <a:t>(𝑡_1+𝑡_2+..+𝑡_(𝑖−1),𝑡_1+𝑡_2+..+𝑡_𝑖 )  </a:t>
              </a:r>
              <a:r>
                <a:rPr lang="en-US" sz="1100" b="0" i="0">
                  <a:latin typeface="Cambria Math" panose="02040503050406030204" pitchFamily="18" charset="0"/>
                </a:rPr>
                <a:t>𝑡_𝑖 𝐷𝑓(0,</a:t>
              </a:r>
              <a:r>
                <a:rPr lang="en-US" sz="1100" b="0" i="0">
                  <a:solidFill>
                    <a:schemeClr val="tx1"/>
                  </a:solidFill>
                  <a:effectLst/>
                  <a:latin typeface="Cambria Math" panose="02040503050406030204" pitchFamily="18" charset="0"/>
                  <a:ea typeface="+mn-ea"/>
                  <a:cs typeface="+mn-cs"/>
                </a:rPr>
                <a:t>𝑡_1+𝑡_2+..+𝑡_𝑖</a:t>
              </a:r>
              <a:r>
                <a:rPr lang="en-US" sz="1100" b="0" i="0">
                  <a:latin typeface="Cambria Math" panose="02040503050406030204" pitchFamily="18" charset="0"/>
                </a:rPr>
                <a:t>)</a:t>
              </a:r>
              <a:r>
                <a:rPr lang="en-CA" sz="1100" b="0" i="0">
                  <a:latin typeface="Cambria Math" panose="02040503050406030204" pitchFamily="18" charset="0"/>
                </a:rPr>
                <a:t>〗</a:t>
              </a:r>
              <a:endParaRPr lang="en-CA"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7</xdr:row>
      <xdr:rowOff>139915</xdr:rowOff>
    </xdr:from>
    <xdr:to>
      <xdr:col>2</xdr:col>
      <xdr:colOff>1218146</xdr:colOff>
      <xdr:row>17</xdr:row>
      <xdr:rowOff>133152</xdr:rowOff>
    </xdr:to>
    <xdr:pic>
      <xdr:nvPicPr>
        <xdr:cNvPr id="2" name="Picture 1">
          <a:extLst>
            <a:ext uri="{FF2B5EF4-FFF2-40B4-BE49-F238E27FC236}">
              <a16:creationId xmlns:a16="http://schemas.microsoft.com/office/drawing/2014/main" id="{7460DC05-88FC-403D-AE28-75F819E19CB2}"/>
            </a:ext>
          </a:extLst>
        </xdr:cNvPr>
        <xdr:cNvPicPr>
          <a:picLocks noChangeAspect="1"/>
        </xdr:cNvPicPr>
      </xdr:nvPicPr>
      <xdr:blipFill>
        <a:blip xmlns:r="http://schemas.openxmlformats.org/officeDocument/2006/relationships" r:embed="rId1"/>
        <a:stretch>
          <a:fillRect/>
        </a:stretch>
      </xdr:blipFill>
      <xdr:spPr>
        <a:xfrm>
          <a:off x="0" y="1282915"/>
          <a:ext cx="4234396" cy="170773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10</xdr:row>
      <xdr:rowOff>53814</xdr:rowOff>
    </xdr:from>
    <xdr:to>
      <xdr:col>3</xdr:col>
      <xdr:colOff>689354</xdr:colOff>
      <xdr:row>20</xdr:row>
      <xdr:rowOff>49275</xdr:rowOff>
    </xdr:to>
    <xdr:pic>
      <xdr:nvPicPr>
        <xdr:cNvPr id="2" name="Picture 1">
          <a:extLst>
            <a:ext uri="{FF2B5EF4-FFF2-40B4-BE49-F238E27FC236}">
              <a16:creationId xmlns:a16="http://schemas.microsoft.com/office/drawing/2014/main" id="{2046D4A0-54C2-4BBB-970F-74157E47B9A3}"/>
            </a:ext>
          </a:extLst>
        </xdr:cNvPr>
        <xdr:cNvPicPr>
          <a:picLocks noChangeAspect="1"/>
        </xdr:cNvPicPr>
      </xdr:nvPicPr>
      <xdr:blipFill>
        <a:blip xmlns:r="http://schemas.openxmlformats.org/officeDocument/2006/relationships" r:embed="rId1"/>
        <a:stretch>
          <a:fillRect/>
        </a:stretch>
      </xdr:blipFill>
      <xdr:spPr>
        <a:xfrm>
          <a:off x="0" y="1673064"/>
          <a:ext cx="4232654" cy="1709961"/>
        </a:xfrm>
        <a:prstGeom prst="rect">
          <a:avLst/>
        </a:prstGeom>
      </xdr:spPr>
    </xdr:pic>
    <xdr:clientData/>
  </xdr:twoCellAnchor>
  <xdr:oneCellAnchor>
    <xdr:from>
      <xdr:col>7</xdr:col>
      <xdr:colOff>269067</xdr:colOff>
      <xdr:row>5</xdr:row>
      <xdr:rowOff>0</xdr:rowOff>
    </xdr:from>
    <xdr:ext cx="1110945" cy="37138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BA28512-9D07-4594-AB79-84BB96581F1A}"/>
                </a:ext>
              </a:extLst>
            </xdr:cNvPr>
            <xdr:cNvSpPr txBox="1"/>
          </xdr:nvSpPr>
          <xdr:spPr>
            <a:xfrm>
              <a:off x="6879417" y="825500"/>
              <a:ext cx="1110945" cy="371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𝑆𝑅</m:t>
                    </m:r>
                    <m:r>
                      <a:rPr lang="en-US" sz="1100" b="0" i="1">
                        <a:latin typeface="Cambria Math" panose="02040503050406030204" pitchFamily="18" charset="0"/>
                      </a:rPr>
                      <m:t>=</m:t>
                    </m:r>
                    <m:f>
                      <m:fPr>
                        <m:ctrlPr>
                          <a:rPr lang="en-US" sz="1100" b="0" i="1">
                            <a:latin typeface="Cambria Math" panose="02040503050406030204" pitchFamily="18" charset="0"/>
                          </a:rPr>
                        </m:ctrlPr>
                      </m:fPr>
                      <m:num>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𝑖</m:t>
                            </m:r>
                            <m:r>
                              <a:rPr lang="en-US" sz="1100" b="0" i="1">
                                <a:latin typeface="Cambria Math" panose="02040503050406030204" pitchFamily="18" charset="0"/>
                              </a:rPr>
                              <m:t>=1</m:t>
                            </m:r>
                          </m:sub>
                          <m:sup>
                            <m:r>
                              <a:rPr lang="en-US" sz="1100" b="0" i="1">
                                <a:latin typeface="Cambria Math" panose="02040503050406030204" pitchFamily="18" charset="0"/>
                              </a:rPr>
                              <m:t>𝑛</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𝐹</m:t>
                                </m:r>
                              </m:e>
                              <m:sub>
                                <m:r>
                                  <a:rPr lang="en-US" sz="1100" b="0" i="1">
                                    <a:latin typeface="Cambria Math" panose="02040503050406030204" pitchFamily="18" charset="0"/>
                                  </a:rPr>
                                  <m:t>𝑖</m:t>
                                </m:r>
                              </m:sub>
                            </m:sSub>
                            <m:sSub>
                              <m:sSubPr>
                                <m:ctrlPr>
                                  <a:rPr lang="en-US" sz="1100" b="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m:t>
                                </m:r>
                              </m:sub>
                            </m:sSub>
                            <m:sSub>
                              <m:sSubPr>
                                <m:ctrlPr>
                                  <a:rPr lang="en-US" sz="1100" b="0" i="1">
                                    <a:latin typeface="Cambria Math" panose="02040503050406030204" pitchFamily="18" charset="0"/>
                                  </a:rPr>
                                </m:ctrlPr>
                              </m:sSubPr>
                              <m:e>
                                <m:r>
                                  <a:rPr lang="en-US" sz="1100" b="0" i="1">
                                    <a:latin typeface="Cambria Math" panose="02040503050406030204" pitchFamily="18" charset="0"/>
                                  </a:rPr>
                                  <m:t>𝐷𝐹</m:t>
                                </m:r>
                              </m:e>
                              <m:sub>
                                <m:r>
                                  <a:rPr lang="en-US" sz="1100" b="0" i="1">
                                    <a:latin typeface="Cambria Math" panose="02040503050406030204" pitchFamily="18" charset="0"/>
                                  </a:rPr>
                                  <m:t>𝑖</m:t>
                                </m:r>
                              </m:sub>
                            </m:sSub>
                          </m:e>
                        </m:nary>
                      </m:num>
                      <m:den>
                        <m:nary>
                          <m:naryPr>
                            <m:chr m:val="∑"/>
                            <m:ctrlPr>
                              <a:rPr lang="en-US" sz="1100" b="0" i="1">
                                <a:solidFill>
                                  <a:schemeClr val="tx1"/>
                                </a:solidFill>
                                <a:effectLst/>
                                <a:latin typeface="Cambria Math" panose="02040503050406030204" pitchFamily="18" charset="0"/>
                                <a:ea typeface="+mn-ea"/>
                                <a:cs typeface="+mn-cs"/>
                              </a:rPr>
                            </m:ctrlPr>
                          </m:naryPr>
                          <m:sub>
                            <m:r>
                              <m:rPr>
                                <m:brk m:alnAt="23"/>
                              </m:rP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=1</m:t>
                            </m:r>
                          </m:sub>
                          <m:sup>
                            <m:r>
                              <a:rPr lang="en-US" sz="1100" b="0" i="1">
                                <a:solidFill>
                                  <a:schemeClr val="tx1"/>
                                </a:solidFill>
                                <a:effectLst/>
                                <a:latin typeface="Cambria Math" panose="02040503050406030204" pitchFamily="18" charset="0"/>
                                <a:ea typeface="+mn-ea"/>
                                <a:cs typeface="+mn-cs"/>
                              </a:rPr>
                              <m:t>𝑛</m:t>
                            </m:r>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m:t>
                                </m:r>
                              </m:sub>
                            </m:sSub>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𝐷𝐹</m:t>
                                </m:r>
                              </m:e>
                              <m:sub>
                                <m:r>
                                  <a:rPr lang="en-US" sz="1100" b="0" i="1">
                                    <a:solidFill>
                                      <a:schemeClr val="tx1"/>
                                    </a:solidFill>
                                    <a:effectLst/>
                                    <a:latin typeface="Cambria Math" panose="02040503050406030204" pitchFamily="18" charset="0"/>
                                    <a:ea typeface="+mn-ea"/>
                                    <a:cs typeface="+mn-cs"/>
                                  </a:rPr>
                                  <m:t>𝑖</m:t>
                                </m:r>
                              </m:sub>
                            </m:sSub>
                          </m:e>
                        </m:nary>
                      </m:den>
                    </m:f>
                  </m:oMath>
                </m:oMathPara>
              </a14:m>
              <a:endParaRPr lang="en-CA" sz="1100"/>
            </a:p>
          </xdr:txBody>
        </xdr:sp>
      </mc:Choice>
      <mc:Fallback xmlns="">
        <xdr:sp macro="" textlink="">
          <xdr:nvSpPr>
            <xdr:cNvPr id="3" name="TextBox 2">
              <a:extLst>
                <a:ext uri="{FF2B5EF4-FFF2-40B4-BE49-F238E27FC236}">
                  <a16:creationId xmlns:a16="http://schemas.microsoft.com/office/drawing/2014/main" id="{FBA28512-9D07-4594-AB79-84BB96581F1A}"/>
                </a:ext>
              </a:extLst>
            </xdr:cNvPr>
            <xdr:cNvSpPr txBox="1"/>
          </xdr:nvSpPr>
          <xdr:spPr>
            <a:xfrm>
              <a:off x="6879417" y="825500"/>
              <a:ext cx="1110945" cy="371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𝑆𝑅=(∑_(𝑖=1)^𝑛▒〖𝐹_𝑖 𝑡_𝑖 〖𝐷𝐹〗_𝑖 〗)/(</a:t>
              </a:r>
              <a:r>
                <a:rPr lang="en-US" sz="1100" b="0" i="0">
                  <a:solidFill>
                    <a:schemeClr val="tx1"/>
                  </a:solidFill>
                  <a:effectLst/>
                  <a:latin typeface="Cambria Math" panose="02040503050406030204" pitchFamily="18" charset="0"/>
                  <a:ea typeface="+mn-ea"/>
                  <a:cs typeface="+mn-cs"/>
                </a:rPr>
                <a:t>∑_(𝑖=1)^𝑛▒〖𝑡_𝑖 〖𝐷𝐹〗_𝑖 〗)</a:t>
              </a:r>
              <a:endParaRPr lang="en-CA"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9</xdr:row>
      <xdr:rowOff>5381</xdr:rowOff>
    </xdr:from>
    <xdr:to>
      <xdr:col>4</xdr:col>
      <xdr:colOff>67182</xdr:colOff>
      <xdr:row>21</xdr:row>
      <xdr:rowOff>111146</xdr:rowOff>
    </xdr:to>
    <xdr:pic>
      <xdr:nvPicPr>
        <xdr:cNvPr id="3" name="Picture 2">
          <a:extLst>
            <a:ext uri="{FF2B5EF4-FFF2-40B4-BE49-F238E27FC236}">
              <a16:creationId xmlns:a16="http://schemas.microsoft.com/office/drawing/2014/main" id="{2E1CF829-5A6C-48DE-9D08-02055A700B54}"/>
            </a:ext>
          </a:extLst>
        </xdr:cNvPr>
        <xdr:cNvPicPr>
          <a:picLocks noChangeAspect="1"/>
        </xdr:cNvPicPr>
      </xdr:nvPicPr>
      <xdr:blipFill>
        <a:blip xmlns:r="http://schemas.openxmlformats.org/officeDocument/2006/relationships" r:embed="rId1"/>
        <a:stretch>
          <a:fillRect/>
        </a:stretch>
      </xdr:blipFill>
      <xdr:spPr>
        <a:xfrm>
          <a:off x="0" y="1465881"/>
          <a:ext cx="4423066" cy="202206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7</xdr:col>
      <xdr:colOff>269067</xdr:colOff>
      <xdr:row>5</xdr:row>
      <xdr:rowOff>0</xdr:rowOff>
    </xdr:from>
    <xdr:ext cx="1110945" cy="37138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1C69689-6A6F-4795-B5A2-1E3EEEB0A92F}"/>
                </a:ext>
              </a:extLst>
            </xdr:cNvPr>
            <xdr:cNvSpPr txBox="1"/>
          </xdr:nvSpPr>
          <xdr:spPr>
            <a:xfrm>
              <a:off x="6879417" y="825500"/>
              <a:ext cx="1110945" cy="371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𝑆𝑅</m:t>
                    </m:r>
                    <m:r>
                      <a:rPr lang="en-US" sz="1100" b="0" i="1">
                        <a:latin typeface="Cambria Math" panose="02040503050406030204" pitchFamily="18" charset="0"/>
                      </a:rPr>
                      <m:t>=</m:t>
                    </m:r>
                    <m:f>
                      <m:fPr>
                        <m:ctrlPr>
                          <a:rPr lang="en-US" sz="1100" b="0" i="1">
                            <a:latin typeface="Cambria Math" panose="02040503050406030204" pitchFamily="18" charset="0"/>
                          </a:rPr>
                        </m:ctrlPr>
                      </m:fPr>
                      <m:num>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𝑖</m:t>
                            </m:r>
                            <m:r>
                              <a:rPr lang="en-US" sz="1100" b="0" i="1">
                                <a:latin typeface="Cambria Math" panose="02040503050406030204" pitchFamily="18" charset="0"/>
                              </a:rPr>
                              <m:t>=1</m:t>
                            </m:r>
                          </m:sub>
                          <m:sup>
                            <m:r>
                              <a:rPr lang="en-US" sz="1100" b="0" i="1">
                                <a:latin typeface="Cambria Math" panose="02040503050406030204" pitchFamily="18" charset="0"/>
                              </a:rPr>
                              <m:t>𝑛</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𝐹</m:t>
                                </m:r>
                              </m:e>
                              <m:sub>
                                <m:r>
                                  <a:rPr lang="en-US" sz="1100" b="0" i="1">
                                    <a:latin typeface="Cambria Math" panose="02040503050406030204" pitchFamily="18" charset="0"/>
                                  </a:rPr>
                                  <m:t>𝑖</m:t>
                                </m:r>
                              </m:sub>
                            </m:sSub>
                            <m:sSub>
                              <m:sSubPr>
                                <m:ctrlPr>
                                  <a:rPr lang="en-US" sz="1100" b="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m:t>
                                </m:r>
                              </m:sub>
                            </m:sSub>
                            <m:sSub>
                              <m:sSubPr>
                                <m:ctrlPr>
                                  <a:rPr lang="en-US" sz="1100" b="0" i="1">
                                    <a:latin typeface="Cambria Math" panose="02040503050406030204" pitchFamily="18" charset="0"/>
                                  </a:rPr>
                                </m:ctrlPr>
                              </m:sSubPr>
                              <m:e>
                                <m:r>
                                  <a:rPr lang="en-US" sz="1100" b="0" i="1">
                                    <a:latin typeface="Cambria Math" panose="02040503050406030204" pitchFamily="18" charset="0"/>
                                  </a:rPr>
                                  <m:t>𝐷𝐹</m:t>
                                </m:r>
                              </m:e>
                              <m:sub>
                                <m:r>
                                  <a:rPr lang="en-US" sz="1100" b="0" i="1">
                                    <a:latin typeface="Cambria Math" panose="02040503050406030204" pitchFamily="18" charset="0"/>
                                  </a:rPr>
                                  <m:t>𝑖</m:t>
                                </m:r>
                              </m:sub>
                            </m:sSub>
                          </m:e>
                        </m:nary>
                      </m:num>
                      <m:den>
                        <m:nary>
                          <m:naryPr>
                            <m:chr m:val="∑"/>
                            <m:ctrlPr>
                              <a:rPr lang="en-US" sz="1100" b="0" i="1">
                                <a:solidFill>
                                  <a:schemeClr val="tx1"/>
                                </a:solidFill>
                                <a:effectLst/>
                                <a:latin typeface="Cambria Math" panose="02040503050406030204" pitchFamily="18" charset="0"/>
                                <a:ea typeface="+mn-ea"/>
                                <a:cs typeface="+mn-cs"/>
                              </a:rPr>
                            </m:ctrlPr>
                          </m:naryPr>
                          <m:sub>
                            <m:r>
                              <m:rPr>
                                <m:brk m:alnAt="23"/>
                              </m:rP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=1</m:t>
                            </m:r>
                          </m:sub>
                          <m:sup>
                            <m:r>
                              <a:rPr lang="en-US" sz="1100" b="0" i="1">
                                <a:solidFill>
                                  <a:schemeClr val="tx1"/>
                                </a:solidFill>
                                <a:effectLst/>
                                <a:latin typeface="Cambria Math" panose="02040503050406030204" pitchFamily="18" charset="0"/>
                                <a:ea typeface="+mn-ea"/>
                                <a:cs typeface="+mn-cs"/>
                              </a:rPr>
                              <m:t>𝑛</m:t>
                            </m:r>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m:t>
                                </m:r>
                              </m:sub>
                            </m:sSub>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𝐷𝐹</m:t>
                                </m:r>
                              </m:e>
                              <m:sub>
                                <m:r>
                                  <a:rPr lang="en-US" sz="1100" b="0" i="1">
                                    <a:solidFill>
                                      <a:schemeClr val="tx1"/>
                                    </a:solidFill>
                                    <a:effectLst/>
                                    <a:latin typeface="Cambria Math" panose="02040503050406030204" pitchFamily="18" charset="0"/>
                                    <a:ea typeface="+mn-ea"/>
                                    <a:cs typeface="+mn-cs"/>
                                  </a:rPr>
                                  <m:t>𝑖</m:t>
                                </m:r>
                              </m:sub>
                            </m:sSub>
                          </m:e>
                        </m:nary>
                      </m:den>
                    </m:f>
                  </m:oMath>
                </m:oMathPara>
              </a14:m>
              <a:endParaRPr lang="en-CA" sz="1100"/>
            </a:p>
          </xdr:txBody>
        </xdr:sp>
      </mc:Choice>
      <mc:Fallback xmlns="">
        <xdr:sp macro="" textlink="">
          <xdr:nvSpPr>
            <xdr:cNvPr id="2" name="TextBox 1">
              <a:extLst>
                <a:ext uri="{FF2B5EF4-FFF2-40B4-BE49-F238E27FC236}">
                  <a16:creationId xmlns:a16="http://schemas.microsoft.com/office/drawing/2014/main" id="{C1C69689-6A6F-4795-B5A2-1E3EEEB0A92F}"/>
                </a:ext>
              </a:extLst>
            </xdr:cNvPr>
            <xdr:cNvSpPr txBox="1"/>
          </xdr:nvSpPr>
          <xdr:spPr>
            <a:xfrm>
              <a:off x="6879417" y="825500"/>
              <a:ext cx="1110945" cy="371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𝑆𝑅=(∑_(𝑖=1)^𝑛▒〖𝐹_𝑖 𝑡_𝑖 〖𝐷𝐹〗_𝑖 〗)/(</a:t>
              </a:r>
              <a:r>
                <a:rPr lang="en-US" sz="1100" b="0" i="0">
                  <a:solidFill>
                    <a:schemeClr val="tx1"/>
                  </a:solidFill>
                  <a:effectLst/>
                  <a:latin typeface="Cambria Math" panose="02040503050406030204" pitchFamily="18" charset="0"/>
                  <a:ea typeface="+mn-ea"/>
                  <a:cs typeface="+mn-cs"/>
                </a:rPr>
                <a:t>∑_(𝑖=1)^𝑛▒〖𝑡_𝑖 〖𝐷𝐹〗_𝑖 〗)</a:t>
              </a:r>
              <a:endParaRPr lang="en-CA" sz="1100"/>
            </a:p>
          </xdr:txBody>
        </xdr:sp>
      </mc:Fallback>
    </mc:AlternateContent>
    <xdr:clientData/>
  </xdr:oneCellAnchor>
  <xdr:twoCellAnchor editAs="oneCell">
    <xdr:from>
      <xdr:col>0</xdr:col>
      <xdr:colOff>0</xdr:colOff>
      <xdr:row>9</xdr:row>
      <xdr:rowOff>5381</xdr:rowOff>
    </xdr:from>
    <xdr:to>
      <xdr:col>3</xdr:col>
      <xdr:colOff>879766</xdr:colOff>
      <xdr:row>20</xdr:row>
      <xdr:rowOff>154196</xdr:rowOff>
    </xdr:to>
    <xdr:pic>
      <xdr:nvPicPr>
        <xdr:cNvPr id="3" name="Picture 2">
          <a:extLst>
            <a:ext uri="{FF2B5EF4-FFF2-40B4-BE49-F238E27FC236}">
              <a16:creationId xmlns:a16="http://schemas.microsoft.com/office/drawing/2014/main" id="{D2620C0E-9BB3-4ABA-AC2F-55C88F5EE7E1}"/>
            </a:ext>
          </a:extLst>
        </xdr:cNvPr>
        <xdr:cNvPicPr>
          <a:picLocks noChangeAspect="1"/>
        </xdr:cNvPicPr>
      </xdr:nvPicPr>
      <xdr:blipFill>
        <a:blip xmlns:r="http://schemas.openxmlformats.org/officeDocument/2006/relationships" r:embed="rId1"/>
        <a:stretch>
          <a:fillRect/>
        </a:stretch>
      </xdr:blipFill>
      <xdr:spPr>
        <a:xfrm>
          <a:off x="0" y="1465881"/>
          <a:ext cx="4423066" cy="202206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4</xdr:col>
      <xdr:colOff>0</xdr:colOff>
      <xdr:row>11</xdr:row>
      <xdr:rowOff>0</xdr:rowOff>
    </xdr:from>
    <xdr:ext cx="1893531" cy="370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F6BDCFD-AABD-4DC5-8EE3-89FA996536CA}"/>
                </a:ext>
              </a:extLst>
            </xdr:cNvPr>
            <xdr:cNvSpPr txBox="1"/>
          </xdr:nvSpPr>
          <xdr:spPr>
            <a:xfrm>
              <a:off x="4457700" y="1924050"/>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𝑆𝑅</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fPr>
                      <m:num>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num>
                      <m:den>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den>
                    </m:f>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1−</m:t>
                        </m:r>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𝑛</m:t>
                            </m:r>
                          </m:sub>
                        </m:sSub>
                      </m:num>
                      <m:den>
                        <m:nary>
                          <m:naryPr>
                            <m:chr m:val="∑"/>
                            <m:ctrlPr>
                              <a:rPr lang="en-US" sz="1100" b="0" i="1" baseline="0">
                                <a:effectLst/>
                                <a:latin typeface="Cambria Math" panose="02040503050406030204" pitchFamily="18" charset="0"/>
                                <a:ea typeface="+mn-ea"/>
                                <a:cs typeface="+mn-cs"/>
                              </a:rPr>
                            </m:ctrlPr>
                          </m:naryPr>
                          <m:sub>
                            <m:r>
                              <m:rPr>
                                <m:brk m:alnAt="23"/>
                              </m:rPr>
                              <a:rPr lang="en-US" sz="1100" b="0" i="1" baseline="0">
                                <a:effectLst/>
                                <a:latin typeface="Cambria Math" panose="02040503050406030204" pitchFamily="18" charset="0"/>
                                <a:ea typeface="+mn-ea"/>
                                <a:cs typeface="+mn-cs"/>
                              </a:rPr>
                              <m:t>𝑖</m:t>
                            </m:r>
                            <m:r>
                              <a:rPr lang="en-US" sz="1100" b="0" i="1" baseline="0">
                                <a:effectLst/>
                                <a:latin typeface="Cambria Math" panose="02040503050406030204" pitchFamily="18" charset="0"/>
                                <a:ea typeface="+mn-ea"/>
                                <a:cs typeface="+mn-cs"/>
                              </a:rPr>
                              <m:t>=1</m:t>
                            </m:r>
                          </m:sub>
                          <m:sup>
                            <m:r>
                              <a:rPr lang="en-US" sz="1100" b="0" i="1" baseline="0">
                                <a:effectLst/>
                                <a:latin typeface="Cambria Math" panose="02040503050406030204" pitchFamily="18" charset="0"/>
                                <a:ea typeface="+mn-ea"/>
                                <a:cs typeface="+mn-cs"/>
                              </a:rPr>
                              <m:t>𝑛</m:t>
                            </m:r>
                          </m:sup>
                          <m:e>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𝑡</m:t>
                                </m:r>
                              </m:e>
                              <m:sub>
                                <m:r>
                                  <a:rPr lang="en-US" sz="1100" b="0" i="1" baseline="0">
                                    <a:effectLst/>
                                    <a:latin typeface="Cambria Math" panose="02040503050406030204" pitchFamily="18" charset="0"/>
                                    <a:ea typeface="+mn-ea"/>
                                    <a:cs typeface="+mn-cs"/>
                                  </a:rPr>
                                  <m:t>𝑖</m:t>
                                </m:r>
                              </m:sub>
                            </m:sSub>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𝑖</m:t>
                                </m:r>
                              </m:sub>
                            </m:sSub>
                          </m:e>
                        </m:nary>
                      </m:den>
                    </m:f>
                  </m:oMath>
                </m:oMathPara>
              </a14:m>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Choice>
      <mc:Fallback xmlns="">
        <xdr:sp macro="" textlink="">
          <xdr:nvSpPr>
            <xdr:cNvPr id="2" name="TextBox 1">
              <a:extLst>
                <a:ext uri="{FF2B5EF4-FFF2-40B4-BE49-F238E27FC236}">
                  <a16:creationId xmlns:a16="http://schemas.microsoft.com/office/drawing/2014/main" id="{3F6BDCFD-AABD-4DC5-8EE3-89FA996536CA}"/>
                </a:ext>
              </a:extLst>
            </xdr:cNvPr>
            <xdr:cNvSpPr txBox="1"/>
          </xdr:nvSpPr>
          <xdr:spPr>
            <a:xfrm>
              <a:off x="4457700" y="1924050"/>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𝑆𝑅=(∑_(𝑖=1)^𝑛▒〖𝐹_𝑖 𝑡_𝑖 〖𝐷𝐹〗_𝑖 〗)/(∑_(𝑖=1)^𝑛▒〖𝑡_𝑖 〖𝐷𝐹〗_𝑖 〗)=</a:t>
              </a:r>
              <a:r>
                <a:rPr lang="en-US" sz="1100" b="0" i="0" baseline="0">
                  <a:effectLst/>
                  <a:latin typeface="Cambria Math" panose="02040503050406030204" pitchFamily="18" charset="0"/>
                  <a:ea typeface="+mn-ea"/>
                  <a:cs typeface="+mn-cs"/>
                </a:rPr>
                <a:t>(1−〖𝐷𝐹〗_𝑛)/(∑_(𝑖=1)^𝑛▒〖𝑡_𝑖 〖𝐷𝐹〗_𝑖 〗)</a:t>
              </a:r>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Fallback>
    </mc:AlternateContent>
    <xdr:clientData/>
  </xdr:oneCellAnchor>
  <xdr:twoCellAnchor editAs="oneCell">
    <xdr:from>
      <xdr:col>7</xdr:col>
      <xdr:colOff>394729</xdr:colOff>
      <xdr:row>0</xdr:row>
      <xdr:rowOff>96865</xdr:rowOff>
    </xdr:from>
    <xdr:to>
      <xdr:col>19</xdr:col>
      <xdr:colOff>613443</xdr:colOff>
      <xdr:row>19</xdr:row>
      <xdr:rowOff>77230</xdr:rowOff>
    </xdr:to>
    <xdr:pic>
      <xdr:nvPicPr>
        <xdr:cNvPr id="5" name="Picture 4">
          <a:extLst>
            <a:ext uri="{FF2B5EF4-FFF2-40B4-BE49-F238E27FC236}">
              <a16:creationId xmlns:a16="http://schemas.microsoft.com/office/drawing/2014/main" id="{141FB849-AD43-93F7-2DC7-72ACB0312724}"/>
            </a:ext>
          </a:extLst>
        </xdr:cNvPr>
        <xdr:cNvPicPr>
          <a:picLocks noChangeAspect="1"/>
        </xdr:cNvPicPr>
      </xdr:nvPicPr>
      <xdr:blipFill>
        <a:blip xmlns:r="http://schemas.openxmlformats.org/officeDocument/2006/relationships" r:embed="rId1"/>
        <a:stretch>
          <a:fillRect/>
        </a:stretch>
      </xdr:blipFill>
      <xdr:spPr>
        <a:xfrm>
          <a:off x="7156621" y="96865"/>
          <a:ext cx="7941687" cy="324117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527374</xdr:colOff>
      <xdr:row>0</xdr:row>
      <xdr:rowOff>86101</xdr:rowOff>
    </xdr:from>
    <xdr:to>
      <xdr:col>10</xdr:col>
      <xdr:colOff>597331</xdr:colOff>
      <xdr:row>15</xdr:row>
      <xdr:rowOff>80721</xdr:rowOff>
    </xdr:to>
    <xdr:pic>
      <xdr:nvPicPr>
        <xdr:cNvPr id="3" name="Picture 2">
          <a:extLst>
            <a:ext uri="{FF2B5EF4-FFF2-40B4-BE49-F238E27FC236}">
              <a16:creationId xmlns:a16="http://schemas.microsoft.com/office/drawing/2014/main" id="{9815FF8B-CD4D-4266-B243-4A71E426442D}"/>
            </a:ext>
          </a:extLst>
        </xdr:cNvPr>
        <xdr:cNvPicPr>
          <a:picLocks noChangeAspect="1"/>
        </xdr:cNvPicPr>
      </xdr:nvPicPr>
      <xdr:blipFill>
        <a:blip xmlns:r="http://schemas.openxmlformats.org/officeDocument/2006/relationships" r:embed="rId1"/>
        <a:stretch>
          <a:fillRect/>
        </a:stretch>
      </xdr:blipFill>
      <xdr:spPr>
        <a:xfrm>
          <a:off x="4827077" y="86101"/>
          <a:ext cx="3912246" cy="244851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7</xdr:col>
      <xdr:colOff>134533</xdr:colOff>
      <xdr:row>10</xdr:row>
      <xdr:rowOff>150677</xdr:rowOff>
    </xdr:from>
    <xdr:ext cx="1893531" cy="370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F367EB-F701-4F71-A1FD-579BA5D89F02}"/>
                </a:ext>
              </a:extLst>
            </xdr:cNvPr>
            <xdr:cNvSpPr txBox="1"/>
          </xdr:nvSpPr>
          <xdr:spPr>
            <a:xfrm>
              <a:off x="6744883" y="1769927"/>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𝑆𝑅</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fPr>
                      <m:num>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num>
                      <m:den>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den>
                    </m:f>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1−</m:t>
                        </m:r>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𝑛</m:t>
                            </m:r>
                          </m:sub>
                        </m:sSub>
                      </m:num>
                      <m:den>
                        <m:nary>
                          <m:naryPr>
                            <m:chr m:val="∑"/>
                            <m:ctrlPr>
                              <a:rPr lang="en-US" sz="1100" b="0" i="1" baseline="0">
                                <a:effectLst/>
                                <a:latin typeface="Cambria Math" panose="02040503050406030204" pitchFamily="18" charset="0"/>
                                <a:ea typeface="+mn-ea"/>
                                <a:cs typeface="+mn-cs"/>
                              </a:rPr>
                            </m:ctrlPr>
                          </m:naryPr>
                          <m:sub>
                            <m:r>
                              <m:rPr>
                                <m:brk m:alnAt="23"/>
                              </m:rPr>
                              <a:rPr lang="en-US" sz="1100" b="0" i="1" baseline="0">
                                <a:effectLst/>
                                <a:latin typeface="Cambria Math" panose="02040503050406030204" pitchFamily="18" charset="0"/>
                                <a:ea typeface="+mn-ea"/>
                                <a:cs typeface="+mn-cs"/>
                              </a:rPr>
                              <m:t>𝑖</m:t>
                            </m:r>
                            <m:r>
                              <a:rPr lang="en-US" sz="1100" b="0" i="1" baseline="0">
                                <a:effectLst/>
                                <a:latin typeface="Cambria Math" panose="02040503050406030204" pitchFamily="18" charset="0"/>
                                <a:ea typeface="+mn-ea"/>
                                <a:cs typeface="+mn-cs"/>
                              </a:rPr>
                              <m:t>=1</m:t>
                            </m:r>
                          </m:sub>
                          <m:sup>
                            <m:r>
                              <a:rPr lang="en-US" sz="1100" b="0" i="1" baseline="0">
                                <a:effectLst/>
                                <a:latin typeface="Cambria Math" panose="02040503050406030204" pitchFamily="18" charset="0"/>
                                <a:ea typeface="+mn-ea"/>
                                <a:cs typeface="+mn-cs"/>
                              </a:rPr>
                              <m:t>𝑛</m:t>
                            </m:r>
                          </m:sup>
                          <m:e>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𝑡</m:t>
                                </m:r>
                              </m:e>
                              <m:sub>
                                <m:r>
                                  <a:rPr lang="en-US" sz="1100" b="0" i="1" baseline="0">
                                    <a:effectLst/>
                                    <a:latin typeface="Cambria Math" panose="02040503050406030204" pitchFamily="18" charset="0"/>
                                    <a:ea typeface="+mn-ea"/>
                                    <a:cs typeface="+mn-cs"/>
                                  </a:rPr>
                                  <m:t>𝑖</m:t>
                                </m:r>
                              </m:sub>
                            </m:sSub>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𝑖</m:t>
                                </m:r>
                              </m:sub>
                            </m:sSub>
                          </m:e>
                        </m:nary>
                      </m:den>
                    </m:f>
                  </m:oMath>
                </m:oMathPara>
              </a14:m>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Choice>
      <mc:Fallback xmlns="">
        <xdr:sp macro="" textlink="">
          <xdr:nvSpPr>
            <xdr:cNvPr id="2" name="TextBox 1">
              <a:extLst>
                <a:ext uri="{FF2B5EF4-FFF2-40B4-BE49-F238E27FC236}">
                  <a16:creationId xmlns:a16="http://schemas.microsoft.com/office/drawing/2014/main" id="{D1F367EB-F701-4F71-A1FD-579BA5D89F02}"/>
                </a:ext>
              </a:extLst>
            </xdr:cNvPr>
            <xdr:cNvSpPr txBox="1"/>
          </xdr:nvSpPr>
          <xdr:spPr>
            <a:xfrm>
              <a:off x="6744883" y="1769927"/>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𝑆𝑅=(∑_(𝑖=1)^𝑛▒〖𝐹_𝑖 𝑡_𝑖 〖𝐷𝐹〗_𝑖 〗)/(∑_(𝑖=1)^𝑛▒〖𝑡_𝑖 〖𝐷𝐹〗_𝑖 〗)=</a:t>
              </a:r>
              <a:r>
                <a:rPr lang="en-US" sz="1100" b="0" i="0" baseline="0">
                  <a:effectLst/>
                  <a:latin typeface="Cambria Math" panose="02040503050406030204" pitchFamily="18" charset="0"/>
                  <a:ea typeface="+mn-ea"/>
                  <a:cs typeface="+mn-cs"/>
                </a:rPr>
                <a:t>(1−〖𝐷𝐹〗_𝑛)/(∑_(𝑖=1)^𝑛▒〖𝑡_𝑖 〖𝐷𝐹〗_𝑖 〗)</a:t>
              </a:r>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Fallback>
    </mc:AlternateContent>
    <xdr:clientData/>
  </xdr:oneCellAnchor>
  <xdr:twoCellAnchor editAs="oneCell">
    <xdr:from>
      <xdr:col>0</xdr:col>
      <xdr:colOff>0</xdr:colOff>
      <xdr:row>9</xdr:row>
      <xdr:rowOff>113008</xdr:rowOff>
    </xdr:from>
    <xdr:to>
      <xdr:col>3</xdr:col>
      <xdr:colOff>365932</xdr:colOff>
      <xdr:row>24</xdr:row>
      <xdr:rowOff>16145</xdr:rowOff>
    </xdr:to>
    <xdr:pic>
      <xdr:nvPicPr>
        <xdr:cNvPr id="3" name="Picture 2">
          <a:extLst>
            <a:ext uri="{FF2B5EF4-FFF2-40B4-BE49-F238E27FC236}">
              <a16:creationId xmlns:a16="http://schemas.microsoft.com/office/drawing/2014/main" id="{8A6BC334-C18A-4F0F-8857-E424A08EC177}"/>
            </a:ext>
          </a:extLst>
        </xdr:cNvPr>
        <xdr:cNvPicPr>
          <a:picLocks noChangeAspect="1"/>
        </xdr:cNvPicPr>
      </xdr:nvPicPr>
      <xdr:blipFill>
        <a:blip xmlns:r="http://schemas.openxmlformats.org/officeDocument/2006/relationships" r:embed="rId1"/>
        <a:stretch>
          <a:fillRect/>
        </a:stretch>
      </xdr:blipFill>
      <xdr:spPr>
        <a:xfrm>
          <a:off x="0" y="1573508"/>
          <a:ext cx="3909232" cy="24113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0</xdr:colOff>
      <xdr:row>0</xdr:row>
      <xdr:rowOff>75339</xdr:rowOff>
    </xdr:from>
    <xdr:to>
      <xdr:col>10</xdr:col>
      <xdr:colOff>495085</xdr:colOff>
      <xdr:row>11</xdr:row>
      <xdr:rowOff>156059</xdr:rowOff>
    </xdr:to>
    <xdr:pic>
      <xdr:nvPicPr>
        <xdr:cNvPr id="4" name="Picture 3">
          <a:extLst>
            <a:ext uri="{FF2B5EF4-FFF2-40B4-BE49-F238E27FC236}">
              <a16:creationId xmlns:a16="http://schemas.microsoft.com/office/drawing/2014/main" id="{1ED9E7E9-8547-3598-238C-168F5D422966}"/>
            </a:ext>
          </a:extLst>
        </xdr:cNvPr>
        <xdr:cNvPicPr>
          <a:picLocks noChangeAspect="1"/>
        </xdr:cNvPicPr>
      </xdr:nvPicPr>
      <xdr:blipFill>
        <a:blip xmlns:r="http://schemas.openxmlformats.org/officeDocument/2006/relationships" r:embed="rId1"/>
        <a:stretch>
          <a:fillRect/>
        </a:stretch>
      </xdr:blipFill>
      <xdr:spPr>
        <a:xfrm>
          <a:off x="4940085" y="75339"/>
          <a:ext cx="3696992" cy="191038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1</xdr:col>
      <xdr:colOff>737246</xdr:colOff>
      <xdr:row>12</xdr:row>
      <xdr:rowOff>145297</xdr:rowOff>
    </xdr:from>
    <xdr:ext cx="1893531" cy="370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CF1CA97-C674-48CC-861D-364CE99E06C1}"/>
                </a:ext>
              </a:extLst>
            </xdr:cNvPr>
            <xdr:cNvSpPr txBox="1"/>
          </xdr:nvSpPr>
          <xdr:spPr>
            <a:xfrm>
              <a:off x="2172346" y="2234447"/>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𝑆𝑅</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fPr>
                      <m:num>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num>
                      <m:den>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den>
                    </m:f>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1−</m:t>
                        </m:r>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𝑛</m:t>
                            </m:r>
                          </m:sub>
                        </m:sSub>
                      </m:num>
                      <m:den>
                        <m:nary>
                          <m:naryPr>
                            <m:chr m:val="∑"/>
                            <m:ctrlPr>
                              <a:rPr lang="en-US" sz="1100" b="0" i="1" baseline="0">
                                <a:effectLst/>
                                <a:latin typeface="Cambria Math" panose="02040503050406030204" pitchFamily="18" charset="0"/>
                                <a:ea typeface="+mn-ea"/>
                                <a:cs typeface="+mn-cs"/>
                              </a:rPr>
                            </m:ctrlPr>
                          </m:naryPr>
                          <m:sub>
                            <m:r>
                              <m:rPr>
                                <m:brk m:alnAt="23"/>
                              </m:rPr>
                              <a:rPr lang="en-US" sz="1100" b="0" i="1" baseline="0">
                                <a:effectLst/>
                                <a:latin typeface="Cambria Math" panose="02040503050406030204" pitchFamily="18" charset="0"/>
                                <a:ea typeface="+mn-ea"/>
                                <a:cs typeface="+mn-cs"/>
                              </a:rPr>
                              <m:t>𝑖</m:t>
                            </m:r>
                            <m:r>
                              <a:rPr lang="en-US" sz="1100" b="0" i="1" baseline="0">
                                <a:effectLst/>
                                <a:latin typeface="Cambria Math" panose="02040503050406030204" pitchFamily="18" charset="0"/>
                                <a:ea typeface="+mn-ea"/>
                                <a:cs typeface="+mn-cs"/>
                              </a:rPr>
                              <m:t>=1</m:t>
                            </m:r>
                          </m:sub>
                          <m:sup>
                            <m:r>
                              <a:rPr lang="en-US" sz="1100" b="0" i="1" baseline="0">
                                <a:effectLst/>
                                <a:latin typeface="Cambria Math" panose="02040503050406030204" pitchFamily="18" charset="0"/>
                                <a:ea typeface="+mn-ea"/>
                                <a:cs typeface="+mn-cs"/>
                              </a:rPr>
                              <m:t>𝑛</m:t>
                            </m:r>
                          </m:sup>
                          <m:e>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𝑡</m:t>
                                </m:r>
                              </m:e>
                              <m:sub>
                                <m:r>
                                  <a:rPr lang="en-US" sz="1100" b="0" i="1" baseline="0">
                                    <a:effectLst/>
                                    <a:latin typeface="Cambria Math" panose="02040503050406030204" pitchFamily="18" charset="0"/>
                                    <a:ea typeface="+mn-ea"/>
                                    <a:cs typeface="+mn-cs"/>
                                  </a:rPr>
                                  <m:t>𝑖</m:t>
                                </m:r>
                              </m:sub>
                            </m:sSub>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𝑖</m:t>
                                </m:r>
                              </m:sub>
                            </m:sSub>
                          </m:e>
                        </m:nary>
                      </m:den>
                    </m:f>
                  </m:oMath>
                </m:oMathPara>
              </a14:m>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Choice>
      <mc:Fallback xmlns="">
        <xdr:sp macro="" textlink="">
          <xdr:nvSpPr>
            <xdr:cNvPr id="2" name="TextBox 1">
              <a:extLst>
                <a:ext uri="{FF2B5EF4-FFF2-40B4-BE49-F238E27FC236}">
                  <a16:creationId xmlns:a16="http://schemas.microsoft.com/office/drawing/2014/main" id="{8CF1CA97-C674-48CC-861D-364CE99E06C1}"/>
                </a:ext>
              </a:extLst>
            </xdr:cNvPr>
            <xdr:cNvSpPr txBox="1"/>
          </xdr:nvSpPr>
          <xdr:spPr>
            <a:xfrm>
              <a:off x="2172346" y="2234447"/>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𝑆𝑅=(∑_(𝑖=1)^𝑛▒〖𝐹_𝑖 𝑡_𝑖 〖𝐷𝐹〗_𝑖 〗)/(∑_(𝑖=1)^𝑛▒〖𝑡_𝑖 〖𝐷𝐹〗_𝑖 〗)=</a:t>
              </a:r>
              <a:r>
                <a:rPr lang="en-US" sz="1100" b="0" i="0" baseline="0">
                  <a:effectLst/>
                  <a:latin typeface="Cambria Math" panose="02040503050406030204" pitchFamily="18" charset="0"/>
                  <a:ea typeface="+mn-ea"/>
                  <a:cs typeface="+mn-cs"/>
                </a:rPr>
                <a:t>(1−〖𝐷𝐹〗_𝑛)/(∑_(𝑖=1)^𝑛▒〖𝑡_𝑖 〖𝐷𝐹〗_𝑖 〗)</a:t>
              </a:r>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Fallback>
    </mc:AlternateContent>
    <xdr:clientData/>
  </xdr:oneCellAnchor>
  <xdr:twoCellAnchor editAs="oneCell">
    <xdr:from>
      <xdr:col>6</xdr:col>
      <xdr:colOff>96864</xdr:colOff>
      <xdr:row>0</xdr:row>
      <xdr:rowOff>0</xdr:rowOff>
    </xdr:from>
    <xdr:to>
      <xdr:col>11</xdr:col>
      <xdr:colOff>392838</xdr:colOff>
      <xdr:row>14</xdr:row>
      <xdr:rowOff>37670</xdr:rowOff>
    </xdr:to>
    <xdr:pic>
      <xdr:nvPicPr>
        <xdr:cNvPr id="3" name="Picture 2">
          <a:extLst>
            <a:ext uri="{FF2B5EF4-FFF2-40B4-BE49-F238E27FC236}">
              <a16:creationId xmlns:a16="http://schemas.microsoft.com/office/drawing/2014/main" id="{375D55F5-8957-4FE0-9314-94B737998BD3}"/>
            </a:ext>
          </a:extLst>
        </xdr:cNvPr>
        <xdr:cNvPicPr>
          <a:picLocks noChangeAspect="1"/>
        </xdr:cNvPicPr>
      </xdr:nvPicPr>
      <xdr:blipFill>
        <a:blip xmlns:r="http://schemas.openxmlformats.org/officeDocument/2006/relationships" r:embed="rId1"/>
        <a:stretch>
          <a:fillRect/>
        </a:stretch>
      </xdr:blipFill>
      <xdr:spPr>
        <a:xfrm>
          <a:off x="6218264" y="0"/>
          <a:ext cx="3502724" cy="244432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532755</xdr:colOff>
      <xdr:row>0</xdr:row>
      <xdr:rowOff>10764</xdr:rowOff>
    </xdr:from>
    <xdr:to>
      <xdr:col>14</xdr:col>
      <xdr:colOff>268653</xdr:colOff>
      <xdr:row>16</xdr:row>
      <xdr:rowOff>69957</xdr:rowOff>
    </xdr:to>
    <xdr:sp macro="" textlink="">
      <xdr:nvSpPr>
        <xdr:cNvPr id="3" name="Rectangle 2">
          <a:extLst>
            <a:ext uri="{FF2B5EF4-FFF2-40B4-BE49-F238E27FC236}">
              <a16:creationId xmlns:a16="http://schemas.microsoft.com/office/drawing/2014/main" id="{A1EA6F00-D95C-411B-B42A-35BF453C6101}"/>
            </a:ext>
          </a:extLst>
        </xdr:cNvPr>
        <xdr:cNvSpPr>
          <a:spLocks noGrp="1" noChangeArrowheads="1"/>
        </xdr:cNvSpPr>
      </xdr:nvSpPr>
      <xdr:spPr bwMode="auto">
        <a:xfrm>
          <a:off x="6654155" y="10764"/>
          <a:ext cx="7432098" cy="2783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lvl1pPr marL="342900" indent="-342900" algn="l" rtl="0" eaLnBrk="0" fontAlgn="base" hangingPunct="0">
            <a:spcBef>
              <a:spcPct val="20000"/>
            </a:spcBef>
            <a:spcAft>
              <a:spcPct val="0"/>
            </a:spcAft>
            <a:buChar char="•"/>
            <a:defRPr sz="3200">
              <a:solidFill>
                <a:schemeClr val="tx1"/>
              </a:solidFill>
              <a:latin typeface="+mn-lt"/>
              <a:ea typeface="+mn-ea"/>
              <a:cs typeface="+mn-cs"/>
            </a:defRPr>
          </a:lvl1pPr>
          <a:lvl2pPr marL="742950" indent="-285750" algn="l" rtl="0" eaLnBrk="0" fontAlgn="base" hangingPunct="0">
            <a:spcBef>
              <a:spcPct val="20000"/>
            </a:spcBef>
            <a:spcAft>
              <a:spcPct val="0"/>
            </a:spcAft>
            <a:buChar char="–"/>
            <a:defRPr sz="2800">
              <a:solidFill>
                <a:schemeClr val="tx1"/>
              </a:solidFill>
              <a:latin typeface="+mn-lt"/>
            </a:defRPr>
          </a:lvl2pPr>
          <a:lvl3pPr marL="1143000" indent="-228600" algn="l" rtl="0" eaLnBrk="0" fontAlgn="base" hangingPunct="0">
            <a:spcBef>
              <a:spcPct val="20000"/>
            </a:spcBef>
            <a:spcAft>
              <a:spcPct val="0"/>
            </a:spcAft>
            <a:buChar char="•"/>
            <a:defRPr sz="2400">
              <a:solidFill>
                <a:schemeClr val="tx1"/>
              </a:solidFill>
              <a:latin typeface="+mn-lt"/>
            </a:defRPr>
          </a:lvl3pPr>
          <a:lvl4pPr marL="1600200" indent="-228600" algn="l" rtl="0" eaLnBrk="0" fontAlgn="base" hangingPunct="0">
            <a:spcBef>
              <a:spcPct val="20000"/>
            </a:spcBef>
            <a:spcAft>
              <a:spcPct val="0"/>
            </a:spcAft>
            <a:buChar char="–"/>
            <a:defRPr sz="2000">
              <a:solidFill>
                <a:schemeClr val="tx1"/>
              </a:solidFill>
              <a:latin typeface="+mn-lt"/>
            </a:defRPr>
          </a:lvl4pPr>
          <a:lvl5pPr marL="2057400" indent="-228600" algn="l" rtl="0" eaLnBrk="0" fontAlgn="base" hangingPunct="0">
            <a:spcBef>
              <a:spcPct val="20000"/>
            </a:spcBef>
            <a:spcAft>
              <a:spcPct val="0"/>
            </a:spcAft>
            <a:buChar char="»"/>
            <a:defRPr sz="2000">
              <a:solidFill>
                <a:schemeClr val="tx1"/>
              </a:solidFill>
              <a:latin typeface="+mn-lt"/>
            </a:defRPr>
          </a:lvl5pPr>
          <a:lvl6pPr marL="2514600" indent="-228600" algn="l" rtl="0" fontAlgn="base">
            <a:spcBef>
              <a:spcPct val="20000"/>
            </a:spcBef>
            <a:spcAft>
              <a:spcPct val="0"/>
            </a:spcAft>
            <a:buChar char="»"/>
            <a:defRPr sz="2000">
              <a:solidFill>
                <a:schemeClr val="tx1"/>
              </a:solidFill>
              <a:latin typeface="+mn-lt"/>
            </a:defRPr>
          </a:lvl6pPr>
          <a:lvl7pPr marL="2971800" indent="-228600" algn="l" rtl="0" fontAlgn="base">
            <a:spcBef>
              <a:spcPct val="20000"/>
            </a:spcBef>
            <a:spcAft>
              <a:spcPct val="0"/>
            </a:spcAft>
            <a:buChar char="»"/>
            <a:defRPr sz="2000">
              <a:solidFill>
                <a:schemeClr val="tx1"/>
              </a:solidFill>
              <a:latin typeface="+mn-lt"/>
            </a:defRPr>
          </a:lvl7pPr>
          <a:lvl8pPr marL="3429000" indent="-228600" algn="l" rtl="0" fontAlgn="base">
            <a:spcBef>
              <a:spcPct val="20000"/>
            </a:spcBef>
            <a:spcAft>
              <a:spcPct val="0"/>
            </a:spcAft>
            <a:buChar char="»"/>
            <a:defRPr sz="2000">
              <a:solidFill>
                <a:schemeClr val="tx1"/>
              </a:solidFill>
              <a:latin typeface="+mn-lt"/>
            </a:defRPr>
          </a:lvl8pPr>
          <a:lvl9pPr marL="3886200" indent="-228600" algn="l" rtl="0" fontAlgn="base">
            <a:spcBef>
              <a:spcPct val="20000"/>
            </a:spcBef>
            <a:spcAft>
              <a:spcPct val="0"/>
            </a:spcAft>
            <a:buChar char="»"/>
            <a:defRPr sz="2000">
              <a:solidFill>
                <a:schemeClr val="tx1"/>
              </a:solidFill>
              <a:latin typeface="+mn-lt"/>
            </a:defRPr>
          </a:lvl9pPr>
        </a:lstStyle>
        <a:p>
          <a:pPr marL="0" indent="0" eaLnBrk="1" hangingPunct="1">
            <a:lnSpc>
              <a:spcPct val="90000"/>
            </a:lnSpc>
            <a:buNone/>
          </a:pPr>
          <a:r>
            <a:rPr lang="en-US" altLang="en-US" sz="3600"/>
            <a:t>Example 21:</a:t>
          </a:r>
        </a:p>
        <a:p>
          <a:pPr lvl="1" eaLnBrk="1" hangingPunct="1">
            <a:lnSpc>
              <a:spcPct val="90000"/>
            </a:lnSpc>
          </a:pPr>
          <a:r>
            <a:rPr lang="en-US" altLang="en-US" sz="2000"/>
            <a:t>Price a 1-year LIBOR interest rate semi-annually reset swap using both methods where the fixed interest rates are swapped for floating rates when </a:t>
          </a:r>
        </a:p>
        <a:p>
          <a:pPr lvl="2" eaLnBrk="1" hangingPunct="1">
            <a:lnSpc>
              <a:spcPct val="90000"/>
            </a:lnSpc>
          </a:pPr>
          <a:r>
            <a:rPr lang="en-US" altLang="en-US" sz="1800"/>
            <a:t>Today is 1 Feb 2024, </a:t>
          </a:r>
        </a:p>
        <a:p>
          <a:pPr lvl="2" eaLnBrk="1" hangingPunct="1">
            <a:lnSpc>
              <a:spcPct val="90000"/>
            </a:lnSpc>
          </a:pPr>
          <a:r>
            <a:rPr lang="en-US" altLang="en-US" sz="1800"/>
            <a:t>Convention of A/360 is used for calculating interest</a:t>
          </a:r>
        </a:p>
        <a:p>
          <a:pPr lvl="2" eaLnBrk="1" hangingPunct="1">
            <a:lnSpc>
              <a:spcPct val="90000"/>
            </a:lnSpc>
          </a:pPr>
          <a:r>
            <a:rPr lang="en-US" altLang="en-US" sz="1800"/>
            <a:t>1</a:t>
          </a:r>
          <a:r>
            <a:rPr lang="en-US" altLang="en-US" sz="1800" baseline="30000"/>
            <a:t>st</a:t>
          </a:r>
          <a:r>
            <a:rPr lang="en-US" altLang="en-US" sz="1800"/>
            <a:t> cashflow is exchanged on 1 Aug 2026</a:t>
          </a:r>
        </a:p>
        <a:p>
          <a:pPr lvl="2" eaLnBrk="1" hangingPunct="1">
            <a:lnSpc>
              <a:spcPct val="90000"/>
            </a:lnSpc>
          </a:pPr>
          <a:r>
            <a:rPr lang="en-US" altLang="en-US" sz="1800"/>
            <a:t>2</a:t>
          </a:r>
          <a:r>
            <a:rPr lang="en-US" altLang="en-US" sz="1800" baseline="30000"/>
            <a:t>nd</a:t>
          </a:r>
          <a:r>
            <a:rPr lang="en-US" altLang="en-US" sz="1800"/>
            <a:t> (last cashflow)  is exchanged on 1 Feb 2027</a:t>
          </a:r>
        </a:p>
        <a:p>
          <a:pPr lvl="2" eaLnBrk="1" hangingPunct="1">
            <a:lnSpc>
              <a:spcPct val="90000"/>
            </a:lnSpc>
          </a:pPr>
          <a:r>
            <a:rPr lang="en-US" altLang="en-US" sz="1800"/>
            <a:t>1</a:t>
          </a:r>
          <a:r>
            <a:rPr lang="en-US" altLang="en-US" sz="1800" baseline="30000"/>
            <a:t>st</a:t>
          </a:r>
          <a:r>
            <a:rPr lang="en-US" altLang="en-US" sz="1800"/>
            <a:t> floating rate is set on 1 Feb 2026</a:t>
          </a:r>
        </a:p>
        <a:p>
          <a:pPr lvl="2" eaLnBrk="1" hangingPunct="1">
            <a:lnSpc>
              <a:spcPct val="90000"/>
            </a:lnSpc>
          </a:pPr>
          <a:r>
            <a:rPr lang="en-US" altLang="en-US" sz="1800"/>
            <a:t>2</a:t>
          </a:r>
          <a:r>
            <a:rPr lang="en-US" altLang="en-US" sz="1800" baseline="30000"/>
            <a:t>nd</a:t>
          </a:r>
          <a:r>
            <a:rPr lang="en-US" altLang="en-US" sz="1800"/>
            <a:t> (last) floating rate is set on 1 Aug 2026</a:t>
          </a:r>
        </a:p>
        <a:p>
          <a:pPr lvl="2" eaLnBrk="1" hangingPunct="1">
            <a:lnSpc>
              <a:spcPct val="90000"/>
            </a:lnSpc>
          </a:pPr>
          <a:r>
            <a:rPr lang="en-US" altLang="en-US" sz="1800"/>
            <a:t>Notional of the trade is 10MM USD</a:t>
          </a:r>
        </a:p>
        <a:p>
          <a:pPr lvl="2" eaLnBrk="1" hangingPunct="1">
            <a:lnSpc>
              <a:spcPct val="90000"/>
            </a:lnSpc>
          </a:pPr>
          <a:r>
            <a:rPr lang="en-US" altLang="en-US" sz="1800"/>
            <a:t>Zero coupon discount factors are given in </a:t>
          </a:r>
          <a:r>
            <a:rPr lang="en-US" altLang="en-US" sz="1800" b="1">
              <a:solidFill>
                <a:srgbClr val="FF0000"/>
              </a:solidFill>
            </a:rPr>
            <a:t>Tab “Slide 114”</a:t>
          </a:r>
        </a:p>
        <a:p>
          <a:pPr lvl="2" eaLnBrk="1" hangingPunct="1">
            <a:lnSpc>
              <a:spcPct val="90000"/>
            </a:lnSpc>
          </a:pPr>
          <a:endParaRPr lang="en-US" altLang="en-US" sz="1800" b="1">
            <a:solidFill>
              <a:srgbClr val="FF0000"/>
            </a:solidFill>
          </a:endParaRPr>
        </a:p>
        <a:p>
          <a:pPr marL="914400" lvl="2" indent="0" eaLnBrk="1" hangingPunct="1">
            <a:lnSpc>
              <a:spcPct val="90000"/>
            </a:lnSpc>
            <a:buNone/>
          </a:pPr>
          <a:endParaRPr lang="en-US" altLang="en-US" sz="1800" b="1">
            <a:solidFill>
              <a:srgbClr val="FF0000"/>
            </a:solidFill>
          </a:endParaRPr>
        </a:p>
        <a:p>
          <a:pPr lvl="2" eaLnBrk="1" hangingPunct="1">
            <a:lnSpc>
              <a:spcPct val="90000"/>
            </a:lnSpc>
          </a:pPr>
          <a:endParaRPr lang="en-US" altLang="en-US" sz="1800" b="1">
            <a:solidFill>
              <a:srgbClr val="FF0000"/>
            </a:solidFill>
          </a:endParaRPr>
        </a:p>
        <a:p>
          <a:pPr lvl="2" eaLnBrk="1" hangingPunct="1">
            <a:lnSpc>
              <a:spcPct val="90000"/>
            </a:lnSpc>
          </a:pPr>
          <a:endParaRPr lang="en-US" altLang="en-US" sz="1800"/>
        </a:p>
      </xdr:txBody>
    </xdr:sp>
    <xdr:clientData/>
  </xdr:twoCellAnchor>
</xdr:wsDr>
</file>

<file path=xl/drawings/drawing27.xml><?xml version="1.0" encoding="utf-8"?>
<xdr:wsDr xmlns:xdr="http://schemas.openxmlformats.org/drawingml/2006/spreadsheetDrawing" xmlns:a="http://schemas.openxmlformats.org/drawingml/2006/main">
  <xdr:oneCellAnchor>
    <xdr:from>
      <xdr:col>1</xdr:col>
      <xdr:colOff>1490635</xdr:colOff>
      <xdr:row>12</xdr:row>
      <xdr:rowOff>96864</xdr:rowOff>
    </xdr:from>
    <xdr:ext cx="1893531" cy="370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F84B151-DF68-4019-8647-51E85C90DF1E}"/>
                </a:ext>
              </a:extLst>
            </xdr:cNvPr>
            <xdr:cNvSpPr txBox="1"/>
          </xdr:nvSpPr>
          <xdr:spPr>
            <a:xfrm>
              <a:off x="2925735" y="2186014"/>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𝑆𝑅</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fPr>
                      <m:num>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num>
                      <m:den>
                        <m:nary>
                          <m:naryPr>
                            <m:chr m:val="∑"/>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naryPr>
                          <m:sub>
                            <m:r>
                              <m:rPr>
                                <m:brk m:alnAt="23"/>
                              </m:r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=1</m:t>
                            </m:r>
                          </m:sub>
                          <m:sup>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𝑛</m:t>
                            </m:r>
                          </m:sup>
                          <m:e>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𝑡</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sSub>
                              <m:sSubPr>
                                <m:ctrlP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ctrlPr>
                              </m:sSubPr>
                              <m:e>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𝐷𝐹</m:t>
                                </m:r>
                              </m:e>
                              <m:sub>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𝑖</m:t>
                                </m:r>
                              </m:sub>
                            </m:sSub>
                          </m:e>
                        </m:nary>
                      </m:den>
                    </m:f>
                    <m:r>
                      <a:rPr kumimoji="0" lang="en-US" sz="1100" b="0" i="1" u="none" strike="noStrike" kern="0" cap="none" spc="0" normalizeH="0" baseline="0" noProof="0" smtClean="0">
                        <a:ln>
                          <a:noFill/>
                        </a:ln>
                        <a:solidFill>
                          <a:sysClr val="windowText" lastClr="000000"/>
                        </a:solidFill>
                        <a:effectLst/>
                        <a:uLnTx/>
                        <a:uFillTx/>
                        <a:latin typeface="Cambria Math" panose="02040503050406030204" pitchFamily="18" charset="0"/>
                        <a:ea typeface="+mn-ea"/>
                        <a:cs typeface="+mn-cs"/>
                      </a:rPr>
                      <m:t>=</m:t>
                    </m:r>
                    <m:f>
                      <m:fP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1−</m:t>
                        </m:r>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𝑛</m:t>
                            </m:r>
                          </m:sub>
                        </m:sSub>
                      </m:num>
                      <m:den>
                        <m:nary>
                          <m:naryPr>
                            <m:chr m:val="∑"/>
                            <m:ctrlPr>
                              <a:rPr lang="en-US" sz="1100" b="0" i="1" baseline="0">
                                <a:effectLst/>
                                <a:latin typeface="Cambria Math" panose="02040503050406030204" pitchFamily="18" charset="0"/>
                                <a:ea typeface="+mn-ea"/>
                                <a:cs typeface="+mn-cs"/>
                              </a:rPr>
                            </m:ctrlPr>
                          </m:naryPr>
                          <m:sub>
                            <m:r>
                              <m:rPr>
                                <m:brk m:alnAt="23"/>
                              </m:rPr>
                              <a:rPr lang="en-US" sz="1100" b="0" i="1" baseline="0">
                                <a:effectLst/>
                                <a:latin typeface="Cambria Math" panose="02040503050406030204" pitchFamily="18" charset="0"/>
                                <a:ea typeface="+mn-ea"/>
                                <a:cs typeface="+mn-cs"/>
                              </a:rPr>
                              <m:t>𝑖</m:t>
                            </m:r>
                            <m:r>
                              <a:rPr lang="en-US" sz="1100" b="0" i="1" baseline="0">
                                <a:effectLst/>
                                <a:latin typeface="Cambria Math" panose="02040503050406030204" pitchFamily="18" charset="0"/>
                                <a:ea typeface="+mn-ea"/>
                                <a:cs typeface="+mn-cs"/>
                              </a:rPr>
                              <m:t>=1</m:t>
                            </m:r>
                          </m:sub>
                          <m:sup>
                            <m:r>
                              <a:rPr lang="en-US" sz="1100" b="0" i="1" baseline="0">
                                <a:effectLst/>
                                <a:latin typeface="Cambria Math" panose="02040503050406030204" pitchFamily="18" charset="0"/>
                                <a:ea typeface="+mn-ea"/>
                                <a:cs typeface="+mn-cs"/>
                              </a:rPr>
                              <m:t>𝑛</m:t>
                            </m:r>
                          </m:sup>
                          <m:e>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𝑡</m:t>
                                </m:r>
                              </m:e>
                              <m:sub>
                                <m:r>
                                  <a:rPr lang="en-US" sz="1100" b="0" i="1" baseline="0">
                                    <a:effectLst/>
                                    <a:latin typeface="Cambria Math" panose="02040503050406030204" pitchFamily="18" charset="0"/>
                                    <a:ea typeface="+mn-ea"/>
                                    <a:cs typeface="+mn-cs"/>
                                  </a:rPr>
                                  <m:t>𝑖</m:t>
                                </m:r>
                              </m:sub>
                            </m:sSub>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𝐷𝐹</m:t>
                                </m:r>
                              </m:e>
                              <m:sub>
                                <m:r>
                                  <a:rPr lang="en-US" sz="1100" b="0" i="1" baseline="0">
                                    <a:effectLst/>
                                    <a:latin typeface="Cambria Math" panose="02040503050406030204" pitchFamily="18" charset="0"/>
                                    <a:ea typeface="+mn-ea"/>
                                    <a:cs typeface="+mn-cs"/>
                                  </a:rPr>
                                  <m:t>𝑖</m:t>
                                </m:r>
                              </m:sub>
                            </m:sSub>
                          </m:e>
                        </m:nary>
                      </m:den>
                    </m:f>
                  </m:oMath>
                </m:oMathPara>
              </a14:m>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Choice>
      <mc:Fallback xmlns="">
        <xdr:sp macro="" textlink="">
          <xdr:nvSpPr>
            <xdr:cNvPr id="2" name="TextBox 1">
              <a:extLst>
                <a:ext uri="{FF2B5EF4-FFF2-40B4-BE49-F238E27FC236}">
                  <a16:creationId xmlns:a16="http://schemas.microsoft.com/office/drawing/2014/main" id="{9F84B151-DF68-4019-8647-51E85C90DF1E}"/>
                </a:ext>
              </a:extLst>
            </xdr:cNvPr>
            <xdr:cNvSpPr txBox="1"/>
          </xdr:nvSpPr>
          <xdr:spPr>
            <a:xfrm>
              <a:off x="2925735" y="2186014"/>
              <a:ext cx="1893531" cy="37099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𝑆𝑅=(∑_(𝑖=1)^𝑛▒〖𝐹_𝑖 𝑡_𝑖 〖𝐷𝐹〗_𝑖 〗)/(∑_(𝑖=1)^𝑛▒〖𝑡_𝑖 〖𝐷𝐹〗_𝑖 〗)=</a:t>
              </a:r>
              <a:r>
                <a:rPr lang="en-US" sz="1100" b="0" i="0" baseline="0">
                  <a:effectLst/>
                  <a:latin typeface="Cambria Math" panose="02040503050406030204" pitchFamily="18" charset="0"/>
                  <a:ea typeface="+mn-ea"/>
                  <a:cs typeface="+mn-cs"/>
                </a:rPr>
                <a:t>(1−〖𝐷𝐹〗_𝑛)/(∑_(𝑖=1)^𝑛▒〖𝑡_𝑖 〖𝐷𝐹〗_𝑖 〗)</a:t>
              </a:r>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mc:Fallback>
    </mc:AlternateContent>
    <xdr:clientData/>
  </xdr:oneCellAnchor>
  <xdr:twoCellAnchor>
    <xdr:from>
      <xdr:col>6</xdr:col>
      <xdr:colOff>532755</xdr:colOff>
      <xdr:row>0</xdr:row>
      <xdr:rowOff>10764</xdr:rowOff>
    </xdr:from>
    <xdr:to>
      <xdr:col>18</xdr:col>
      <xdr:colOff>268653</xdr:colOff>
      <xdr:row>16</xdr:row>
      <xdr:rowOff>69957</xdr:rowOff>
    </xdr:to>
    <xdr:sp macro="" textlink="">
      <xdr:nvSpPr>
        <xdr:cNvPr id="3" name="Rectangle 2">
          <a:extLst>
            <a:ext uri="{FF2B5EF4-FFF2-40B4-BE49-F238E27FC236}">
              <a16:creationId xmlns:a16="http://schemas.microsoft.com/office/drawing/2014/main" id="{45407DD8-01F7-4BB0-8D47-A01DF6A0A86F}"/>
            </a:ext>
          </a:extLst>
        </xdr:cNvPr>
        <xdr:cNvSpPr>
          <a:spLocks noGrp="1" noChangeArrowheads="1"/>
        </xdr:cNvSpPr>
      </xdr:nvSpPr>
      <xdr:spPr bwMode="auto">
        <a:xfrm>
          <a:off x="6654155" y="10764"/>
          <a:ext cx="7432098" cy="2783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lvl1pPr marL="342900" indent="-342900" algn="l" rtl="0" eaLnBrk="0" fontAlgn="base" hangingPunct="0">
            <a:spcBef>
              <a:spcPct val="20000"/>
            </a:spcBef>
            <a:spcAft>
              <a:spcPct val="0"/>
            </a:spcAft>
            <a:buChar char="•"/>
            <a:defRPr sz="3200">
              <a:solidFill>
                <a:schemeClr val="tx1"/>
              </a:solidFill>
              <a:latin typeface="+mn-lt"/>
              <a:ea typeface="+mn-ea"/>
              <a:cs typeface="+mn-cs"/>
            </a:defRPr>
          </a:lvl1pPr>
          <a:lvl2pPr marL="742950" indent="-285750" algn="l" rtl="0" eaLnBrk="0" fontAlgn="base" hangingPunct="0">
            <a:spcBef>
              <a:spcPct val="20000"/>
            </a:spcBef>
            <a:spcAft>
              <a:spcPct val="0"/>
            </a:spcAft>
            <a:buChar char="–"/>
            <a:defRPr sz="2800">
              <a:solidFill>
                <a:schemeClr val="tx1"/>
              </a:solidFill>
              <a:latin typeface="+mn-lt"/>
            </a:defRPr>
          </a:lvl2pPr>
          <a:lvl3pPr marL="1143000" indent="-228600" algn="l" rtl="0" eaLnBrk="0" fontAlgn="base" hangingPunct="0">
            <a:spcBef>
              <a:spcPct val="20000"/>
            </a:spcBef>
            <a:spcAft>
              <a:spcPct val="0"/>
            </a:spcAft>
            <a:buChar char="•"/>
            <a:defRPr sz="2400">
              <a:solidFill>
                <a:schemeClr val="tx1"/>
              </a:solidFill>
              <a:latin typeface="+mn-lt"/>
            </a:defRPr>
          </a:lvl3pPr>
          <a:lvl4pPr marL="1600200" indent="-228600" algn="l" rtl="0" eaLnBrk="0" fontAlgn="base" hangingPunct="0">
            <a:spcBef>
              <a:spcPct val="20000"/>
            </a:spcBef>
            <a:spcAft>
              <a:spcPct val="0"/>
            </a:spcAft>
            <a:buChar char="–"/>
            <a:defRPr sz="2000">
              <a:solidFill>
                <a:schemeClr val="tx1"/>
              </a:solidFill>
              <a:latin typeface="+mn-lt"/>
            </a:defRPr>
          </a:lvl4pPr>
          <a:lvl5pPr marL="2057400" indent="-228600" algn="l" rtl="0" eaLnBrk="0" fontAlgn="base" hangingPunct="0">
            <a:spcBef>
              <a:spcPct val="20000"/>
            </a:spcBef>
            <a:spcAft>
              <a:spcPct val="0"/>
            </a:spcAft>
            <a:buChar char="»"/>
            <a:defRPr sz="2000">
              <a:solidFill>
                <a:schemeClr val="tx1"/>
              </a:solidFill>
              <a:latin typeface="+mn-lt"/>
            </a:defRPr>
          </a:lvl5pPr>
          <a:lvl6pPr marL="2514600" indent="-228600" algn="l" rtl="0" fontAlgn="base">
            <a:spcBef>
              <a:spcPct val="20000"/>
            </a:spcBef>
            <a:spcAft>
              <a:spcPct val="0"/>
            </a:spcAft>
            <a:buChar char="»"/>
            <a:defRPr sz="2000">
              <a:solidFill>
                <a:schemeClr val="tx1"/>
              </a:solidFill>
              <a:latin typeface="+mn-lt"/>
            </a:defRPr>
          </a:lvl6pPr>
          <a:lvl7pPr marL="2971800" indent="-228600" algn="l" rtl="0" fontAlgn="base">
            <a:spcBef>
              <a:spcPct val="20000"/>
            </a:spcBef>
            <a:spcAft>
              <a:spcPct val="0"/>
            </a:spcAft>
            <a:buChar char="»"/>
            <a:defRPr sz="2000">
              <a:solidFill>
                <a:schemeClr val="tx1"/>
              </a:solidFill>
              <a:latin typeface="+mn-lt"/>
            </a:defRPr>
          </a:lvl7pPr>
          <a:lvl8pPr marL="3429000" indent="-228600" algn="l" rtl="0" fontAlgn="base">
            <a:spcBef>
              <a:spcPct val="20000"/>
            </a:spcBef>
            <a:spcAft>
              <a:spcPct val="0"/>
            </a:spcAft>
            <a:buChar char="»"/>
            <a:defRPr sz="2000">
              <a:solidFill>
                <a:schemeClr val="tx1"/>
              </a:solidFill>
              <a:latin typeface="+mn-lt"/>
            </a:defRPr>
          </a:lvl8pPr>
          <a:lvl9pPr marL="3886200" indent="-228600" algn="l" rtl="0" fontAlgn="base">
            <a:spcBef>
              <a:spcPct val="20000"/>
            </a:spcBef>
            <a:spcAft>
              <a:spcPct val="0"/>
            </a:spcAft>
            <a:buChar char="»"/>
            <a:defRPr sz="2000">
              <a:solidFill>
                <a:schemeClr val="tx1"/>
              </a:solidFill>
              <a:latin typeface="+mn-lt"/>
            </a:defRPr>
          </a:lvl9pPr>
        </a:lstStyle>
        <a:p>
          <a:pPr marL="0" indent="0" eaLnBrk="1" hangingPunct="1">
            <a:lnSpc>
              <a:spcPct val="90000"/>
            </a:lnSpc>
            <a:buNone/>
          </a:pPr>
          <a:r>
            <a:rPr lang="en-US" altLang="en-US" sz="3600"/>
            <a:t>Example 21:</a:t>
          </a:r>
        </a:p>
        <a:p>
          <a:pPr lvl="1" eaLnBrk="1" hangingPunct="1">
            <a:lnSpc>
              <a:spcPct val="90000"/>
            </a:lnSpc>
          </a:pPr>
          <a:r>
            <a:rPr lang="en-US" altLang="en-US" sz="2000"/>
            <a:t>Price a 1-year LIBOR interest rate semi-annually reset swap using both methods where the fixed interest rates are swapped for floating rates when </a:t>
          </a:r>
        </a:p>
        <a:p>
          <a:pPr lvl="2" eaLnBrk="1" hangingPunct="1">
            <a:lnSpc>
              <a:spcPct val="90000"/>
            </a:lnSpc>
          </a:pPr>
          <a:r>
            <a:rPr lang="en-US" altLang="en-US" sz="1800"/>
            <a:t>Today is 1 Feb 2024, </a:t>
          </a:r>
        </a:p>
        <a:p>
          <a:pPr lvl="2" eaLnBrk="1" hangingPunct="1">
            <a:lnSpc>
              <a:spcPct val="90000"/>
            </a:lnSpc>
          </a:pPr>
          <a:r>
            <a:rPr lang="en-US" altLang="en-US" sz="1800"/>
            <a:t>Convention of A/360 is used for calculating interest</a:t>
          </a:r>
        </a:p>
        <a:p>
          <a:pPr lvl="2" eaLnBrk="1" hangingPunct="1">
            <a:lnSpc>
              <a:spcPct val="90000"/>
            </a:lnSpc>
          </a:pPr>
          <a:r>
            <a:rPr lang="en-US" altLang="en-US" sz="1800"/>
            <a:t>1</a:t>
          </a:r>
          <a:r>
            <a:rPr lang="en-US" altLang="en-US" sz="1800" baseline="30000"/>
            <a:t>st</a:t>
          </a:r>
          <a:r>
            <a:rPr lang="en-US" altLang="en-US" sz="1800"/>
            <a:t> cashflow is exchanged on 1 Aug 2026</a:t>
          </a:r>
        </a:p>
        <a:p>
          <a:pPr lvl="2" eaLnBrk="1" hangingPunct="1">
            <a:lnSpc>
              <a:spcPct val="90000"/>
            </a:lnSpc>
          </a:pPr>
          <a:r>
            <a:rPr lang="en-US" altLang="en-US" sz="1800"/>
            <a:t>2</a:t>
          </a:r>
          <a:r>
            <a:rPr lang="en-US" altLang="en-US" sz="1800" baseline="30000"/>
            <a:t>nd</a:t>
          </a:r>
          <a:r>
            <a:rPr lang="en-US" altLang="en-US" sz="1800"/>
            <a:t> (last cashflow)  is exchanged on 1 Feb 2027</a:t>
          </a:r>
        </a:p>
        <a:p>
          <a:pPr lvl="2" eaLnBrk="1" hangingPunct="1">
            <a:lnSpc>
              <a:spcPct val="90000"/>
            </a:lnSpc>
          </a:pPr>
          <a:r>
            <a:rPr lang="en-US" altLang="en-US" sz="1800"/>
            <a:t>1</a:t>
          </a:r>
          <a:r>
            <a:rPr lang="en-US" altLang="en-US" sz="1800" baseline="30000"/>
            <a:t>st</a:t>
          </a:r>
          <a:r>
            <a:rPr lang="en-US" altLang="en-US" sz="1800"/>
            <a:t> floating rate is set on 1 Feb 2026</a:t>
          </a:r>
        </a:p>
        <a:p>
          <a:pPr lvl="2" eaLnBrk="1" hangingPunct="1">
            <a:lnSpc>
              <a:spcPct val="90000"/>
            </a:lnSpc>
          </a:pPr>
          <a:r>
            <a:rPr lang="en-US" altLang="en-US" sz="1800"/>
            <a:t>2</a:t>
          </a:r>
          <a:r>
            <a:rPr lang="en-US" altLang="en-US" sz="1800" baseline="30000"/>
            <a:t>nd</a:t>
          </a:r>
          <a:r>
            <a:rPr lang="en-US" altLang="en-US" sz="1800"/>
            <a:t> (last) floating rate is set on 1 Aug 2026</a:t>
          </a:r>
        </a:p>
        <a:p>
          <a:pPr lvl="2" eaLnBrk="1" hangingPunct="1">
            <a:lnSpc>
              <a:spcPct val="90000"/>
            </a:lnSpc>
          </a:pPr>
          <a:r>
            <a:rPr lang="en-US" altLang="en-US" sz="1800"/>
            <a:t>Notional of the trade is 10MM USD</a:t>
          </a:r>
        </a:p>
        <a:p>
          <a:pPr lvl="2" eaLnBrk="1" hangingPunct="1">
            <a:lnSpc>
              <a:spcPct val="90000"/>
            </a:lnSpc>
          </a:pPr>
          <a:r>
            <a:rPr lang="en-US" altLang="en-US" sz="1800"/>
            <a:t>Zero coupon discount factors are given in </a:t>
          </a:r>
          <a:r>
            <a:rPr lang="en-US" altLang="en-US" sz="1800" b="1">
              <a:solidFill>
                <a:srgbClr val="FF0000"/>
              </a:solidFill>
            </a:rPr>
            <a:t>Tab “Slide 114”</a:t>
          </a:r>
        </a:p>
        <a:p>
          <a:pPr lvl="2" eaLnBrk="1" hangingPunct="1">
            <a:lnSpc>
              <a:spcPct val="90000"/>
            </a:lnSpc>
          </a:pPr>
          <a:endParaRPr lang="en-US" altLang="en-US" sz="1800" b="1">
            <a:solidFill>
              <a:srgbClr val="FF0000"/>
            </a:solidFill>
          </a:endParaRPr>
        </a:p>
        <a:p>
          <a:pPr marL="914400" lvl="2" indent="0" eaLnBrk="1" hangingPunct="1">
            <a:lnSpc>
              <a:spcPct val="90000"/>
            </a:lnSpc>
            <a:buNone/>
          </a:pPr>
          <a:endParaRPr lang="en-US" altLang="en-US" sz="1800" b="1">
            <a:solidFill>
              <a:srgbClr val="FF0000"/>
            </a:solidFill>
          </a:endParaRPr>
        </a:p>
        <a:p>
          <a:pPr lvl="2" eaLnBrk="1" hangingPunct="1">
            <a:lnSpc>
              <a:spcPct val="90000"/>
            </a:lnSpc>
          </a:pPr>
          <a:endParaRPr lang="en-US" altLang="en-US" sz="1800" b="1">
            <a:solidFill>
              <a:srgbClr val="FF0000"/>
            </a:solidFill>
          </a:endParaRPr>
        </a:p>
        <a:p>
          <a:pPr lvl="2" eaLnBrk="1" hangingPunct="1">
            <a:lnSpc>
              <a:spcPct val="90000"/>
            </a:lnSpc>
          </a:pPr>
          <a:endParaRPr lang="en-US" altLang="en-US" sz="18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207520</xdr:colOff>
      <xdr:row>16</xdr:row>
      <xdr:rowOff>31640</xdr:rowOff>
    </xdr:from>
    <xdr:to>
      <xdr:col>4</xdr:col>
      <xdr:colOff>229840</xdr:colOff>
      <xdr:row>16</xdr:row>
      <xdr:rowOff>68000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2800-000002000000}"/>
                </a:ext>
              </a:extLst>
            </xdr14:cNvPr>
            <xdr14:cNvContentPartPr/>
          </xdr14:nvContentPartPr>
          <xdr14:nvPr macro=""/>
          <xdr14:xfrm>
            <a:off x="3661920" y="2597040"/>
            <a:ext cx="22320" cy="36360"/>
          </xdr14:xfrm>
        </xdr:contentPart>
      </mc:Choice>
      <mc:Fallback xmlns="">
        <xdr:pic>
          <xdr:nvPicPr>
            <xdr:cNvPr id="55" name="Ink 54">
              <a:extLst>
                <a:ext uri="{FF2B5EF4-FFF2-40B4-BE49-F238E27FC236}">
                  <a16:creationId xmlns:a16="http://schemas.microsoft.com/office/drawing/2014/main" id="{60E23FF6-2E26-479C-90AA-A1E966347A61}"/>
                </a:ext>
              </a:extLst>
            </xdr:cNvPr>
            <xdr:cNvPicPr/>
          </xdr:nvPicPr>
          <xdr:blipFill>
            <a:blip xmlns:r="http://schemas.openxmlformats.org/officeDocument/2006/relationships" r:embed="rId16"/>
            <a:stretch>
              <a:fillRect/>
            </a:stretch>
          </xdr:blipFill>
          <xdr:spPr>
            <a:xfrm>
              <a:off x="3652920" y="2588040"/>
              <a:ext cx="39960" cy="54000"/>
            </a:xfrm>
            <a:prstGeom prst="rect">
              <a:avLst/>
            </a:prstGeom>
          </xdr:spPr>
        </xdr:pic>
      </mc:Fallback>
    </mc:AlternateContent>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1051440</xdr:colOff>
      <xdr:row>1</xdr:row>
      <xdr:rowOff>117500</xdr:rowOff>
    </xdr:from>
    <xdr:to>
      <xdr:col>1</xdr:col>
      <xdr:colOff>1054680</xdr:colOff>
      <xdr:row>1</xdr:row>
      <xdr:rowOff>126140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2A00-000002000000}"/>
                </a:ext>
              </a:extLst>
            </xdr14:cNvPr>
            <xdr14:cNvContentPartPr/>
          </xdr14:nvContentPartPr>
          <xdr14:nvPr macro=""/>
          <xdr14:xfrm>
            <a:off x="1661040" y="282600"/>
            <a:ext cx="3240" cy="8640"/>
          </xdr14:xfrm>
        </xdr:contentPart>
      </mc:Choice>
      <mc:Fallback xmlns="">
        <xdr:pic>
          <xdr:nvPicPr>
            <xdr:cNvPr id="2" name="Ink 1">
              <a:extLst>
                <a:ext uri="{FF2B5EF4-FFF2-40B4-BE49-F238E27FC236}">
                  <a16:creationId xmlns:a16="http://schemas.microsoft.com/office/drawing/2014/main" id="{579688B0-48D5-4863-83A4-2BAA37751109}"/>
                </a:ext>
              </a:extLst>
            </xdr:cNvPr>
            <xdr:cNvPicPr/>
          </xdr:nvPicPr>
          <xdr:blipFill>
            <a:blip xmlns:r="http://schemas.openxmlformats.org/officeDocument/2006/relationships" r:embed="rId2"/>
            <a:stretch>
              <a:fillRect/>
            </a:stretch>
          </xdr:blipFill>
          <xdr:spPr>
            <a:xfrm>
              <a:off x="1652040" y="273600"/>
              <a:ext cx="20880" cy="26280"/>
            </a:xfrm>
            <a:prstGeom prst="rect">
              <a:avLst/>
            </a:prstGeom>
          </xdr:spPr>
        </xdr:pic>
      </mc:Fallback>
    </mc:AlternateContent>
    <xdr:clientData/>
  </xdr:twoCellAnchor>
  <xdr:twoCellAnchor editAs="oneCell">
    <xdr:from>
      <xdr:col>1</xdr:col>
      <xdr:colOff>1235040</xdr:colOff>
      <xdr:row>2</xdr:row>
      <xdr:rowOff>85960</xdr:rowOff>
    </xdr:from>
    <xdr:to>
      <xdr:col>1</xdr:col>
      <xdr:colOff>1235400</xdr:colOff>
      <xdr:row>2</xdr:row>
      <xdr:rowOff>86320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2A00-000003000000}"/>
                </a:ext>
              </a:extLst>
            </xdr14:cNvPr>
            <xdr14:cNvContentPartPr/>
          </xdr14:nvContentPartPr>
          <xdr14:nvPr macro=""/>
          <xdr14:xfrm>
            <a:off x="1844640" y="416160"/>
            <a:ext cx="360" cy="360"/>
          </xdr14:xfrm>
        </xdr:contentPart>
      </mc:Choice>
      <mc:Fallback xmlns="">
        <xdr:pic>
          <xdr:nvPicPr>
            <xdr:cNvPr id="3" name="Ink 2">
              <a:extLst>
                <a:ext uri="{FF2B5EF4-FFF2-40B4-BE49-F238E27FC236}">
                  <a16:creationId xmlns:a16="http://schemas.microsoft.com/office/drawing/2014/main" id="{B30C107E-2A06-4294-B1E0-6A60A7375713}"/>
                </a:ext>
              </a:extLst>
            </xdr:cNvPr>
            <xdr:cNvPicPr/>
          </xdr:nvPicPr>
          <xdr:blipFill>
            <a:blip xmlns:r="http://schemas.openxmlformats.org/officeDocument/2006/relationships" r:embed="rId4"/>
            <a:stretch>
              <a:fillRect/>
            </a:stretch>
          </xdr:blipFill>
          <xdr:spPr>
            <a:xfrm>
              <a:off x="1835640" y="407520"/>
              <a:ext cx="18000" cy="18000"/>
            </a:xfrm>
            <a:prstGeom prst="rect">
              <a:avLst/>
            </a:prstGeom>
          </xdr:spPr>
        </xdr:pic>
      </mc:Fallback>
    </mc:AlternateContent>
    <xdr:clientData/>
  </xdr:twoCellAnchor>
  <xdr:twoCellAnchor editAs="oneCell">
    <xdr:from>
      <xdr:col>1</xdr:col>
      <xdr:colOff>613320</xdr:colOff>
      <xdr:row>7</xdr:row>
      <xdr:rowOff>157190</xdr:rowOff>
    </xdr:from>
    <xdr:to>
      <xdr:col>1</xdr:col>
      <xdr:colOff>633480</xdr:colOff>
      <xdr:row>8</xdr:row>
      <xdr:rowOff>7570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2A00-000004000000}"/>
                </a:ext>
              </a:extLst>
            </xdr14:cNvPr>
            <xdr14:cNvContentPartPr/>
          </xdr14:nvContentPartPr>
          <xdr14:nvPr macro=""/>
          <xdr14:xfrm>
            <a:off x="1222920" y="1293840"/>
            <a:ext cx="20160" cy="15480"/>
          </xdr14:xfrm>
        </xdr:contentPart>
      </mc:Choice>
      <mc:Fallback xmlns="">
        <xdr:pic>
          <xdr:nvPicPr>
            <xdr:cNvPr id="9" name="Ink 8">
              <a:extLst>
                <a:ext uri="{FF2B5EF4-FFF2-40B4-BE49-F238E27FC236}">
                  <a16:creationId xmlns:a16="http://schemas.microsoft.com/office/drawing/2014/main" id="{DBAB4F97-C08F-43B1-957F-E5D977A445C1}"/>
                </a:ext>
              </a:extLst>
            </xdr:cNvPr>
            <xdr:cNvPicPr/>
          </xdr:nvPicPr>
          <xdr:blipFill>
            <a:blip xmlns:r="http://schemas.openxmlformats.org/officeDocument/2006/relationships" r:embed="rId12"/>
            <a:stretch>
              <a:fillRect/>
            </a:stretch>
          </xdr:blipFill>
          <xdr:spPr>
            <a:xfrm>
              <a:off x="1214280" y="1284840"/>
              <a:ext cx="37800" cy="33120"/>
            </a:xfrm>
            <a:prstGeom prst="rect">
              <a:avLst/>
            </a:prstGeom>
          </xdr:spPr>
        </xdr:pic>
      </mc:Fallback>
    </mc:AlternateContent>
    <xdr:clientData/>
  </xdr:twoCellAnchor>
  <xdr:twoCellAnchor editAs="oneCell">
    <xdr:from>
      <xdr:col>2</xdr:col>
      <xdr:colOff>303520</xdr:colOff>
      <xdr:row>7</xdr:row>
      <xdr:rowOff>103910</xdr:rowOff>
    </xdr:from>
    <xdr:to>
      <xdr:col>2</xdr:col>
      <xdr:colOff>310000</xdr:colOff>
      <xdr:row>7</xdr:row>
      <xdr:rowOff>111470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5" name="Ink 4">
              <a:extLst>
                <a:ext uri="{FF2B5EF4-FFF2-40B4-BE49-F238E27FC236}">
                  <a16:creationId xmlns:a16="http://schemas.microsoft.com/office/drawing/2014/main" id="{00000000-0008-0000-2A00-000005000000}"/>
                </a:ext>
              </a:extLst>
            </xdr14:cNvPr>
            <xdr14:cNvContentPartPr/>
          </xdr14:nvContentPartPr>
          <xdr14:nvPr macro=""/>
          <xdr14:xfrm>
            <a:off x="2538720" y="1240560"/>
            <a:ext cx="6480" cy="7560"/>
          </xdr14:xfrm>
        </xdr:contentPart>
      </mc:Choice>
      <mc:Fallback xmlns="">
        <xdr:pic>
          <xdr:nvPicPr>
            <xdr:cNvPr id="10" name="Ink 9">
              <a:extLst>
                <a:ext uri="{FF2B5EF4-FFF2-40B4-BE49-F238E27FC236}">
                  <a16:creationId xmlns:a16="http://schemas.microsoft.com/office/drawing/2014/main" id="{061F2CA2-E25D-4E1F-81FF-8CBB49A39D6C}"/>
                </a:ext>
              </a:extLst>
            </xdr:cNvPr>
            <xdr:cNvPicPr/>
          </xdr:nvPicPr>
          <xdr:blipFill>
            <a:blip xmlns:r="http://schemas.openxmlformats.org/officeDocument/2006/relationships" r:embed="rId2"/>
            <a:stretch>
              <a:fillRect/>
            </a:stretch>
          </xdr:blipFill>
          <xdr:spPr>
            <a:xfrm>
              <a:off x="2529720" y="1231920"/>
              <a:ext cx="24120" cy="25200"/>
            </a:xfrm>
            <a:prstGeom prst="rect">
              <a:avLst/>
            </a:prstGeom>
          </xdr:spPr>
        </xdr:pic>
      </mc:Fallback>
    </mc:AlternateContent>
    <xdr:clientData/>
  </xdr:twoCellAnchor>
  <xdr:twoCellAnchor editAs="oneCell">
    <xdr:from>
      <xdr:col>1</xdr:col>
      <xdr:colOff>1016160</xdr:colOff>
      <xdr:row>7</xdr:row>
      <xdr:rowOff>152870</xdr:rowOff>
    </xdr:from>
    <xdr:to>
      <xdr:col>1</xdr:col>
      <xdr:colOff>1025160</xdr:colOff>
      <xdr:row>7</xdr:row>
      <xdr:rowOff>157910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6" name="Ink 5">
              <a:extLst>
                <a:ext uri="{FF2B5EF4-FFF2-40B4-BE49-F238E27FC236}">
                  <a16:creationId xmlns:a16="http://schemas.microsoft.com/office/drawing/2014/main" id="{00000000-0008-0000-2A00-000006000000}"/>
                </a:ext>
              </a:extLst>
            </xdr14:cNvPr>
            <xdr14:cNvContentPartPr/>
          </xdr14:nvContentPartPr>
          <xdr14:nvPr macro=""/>
          <xdr14:xfrm>
            <a:off x="1625760" y="1289520"/>
            <a:ext cx="9000" cy="5040"/>
          </xdr14:xfrm>
        </xdr:contentPart>
      </mc:Choice>
      <mc:Fallback xmlns="">
        <xdr:pic>
          <xdr:nvPicPr>
            <xdr:cNvPr id="11" name="Ink 10">
              <a:extLst>
                <a:ext uri="{FF2B5EF4-FFF2-40B4-BE49-F238E27FC236}">
                  <a16:creationId xmlns:a16="http://schemas.microsoft.com/office/drawing/2014/main" id="{C7C74B11-8C13-4AF5-B2B1-4EAD1845D60B}"/>
                </a:ext>
              </a:extLst>
            </xdr:cNvPr>
            <xdr:cNvPicPr/>
          </xdr:nvPicPr>
          <xdr:blipFill>
            <a:blip xmlns:r="http://schemas.openxmlformats.org/officeDocument/2006/relationships" r:embed="rId15"/>
            <a:stretch>
              <a:fillRect/>
            </a:stretch>
          </xdr:blipFill>
          <xdr:spPr>
            <a:xfrm>
              <a:off x="1617120" y="1280520"/>
              <a:ext cx="26640" cy="22680"/>
            </a:xfrm>
            <a:prstGeom prst="rect">
              <a:avLst/>
            </a:prstGeom>
          </xdr:spPr>
        </xdr:pic>
      </mc:Fallback>
    </mc:AlternateContent>
    <xdr:clientData/>
  </xdr:twoCellAnchor>
  <xdr:twoCellAnchor editAs="oneCell">
    <xdr:from>
      <xdr:col>3</xdr:col>
      <xdr:colOff>485920</xdr:colOff>
      <xdr:row>7</xdr:row>
      <xdr:rowOff>79430</xdr:rowOff>
    </xdr:from>
    <xdr:to>
      <xdr:col>3</xdr:col>
      <xdr:colOff>512200</xdr:colOff>
      <xdr:row>7</xdr:row>
      <xdr:rowOff>94190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7" name="Ink 6">
              <a:extLst>
                <a:ext uri="{FF2B5EF4-FFF2-40B4-BE49-F238E27FC236}">
                  <a16:creationId xmlns:a16="http://schemas.microsoft.com/office/drawing/2014/main" id="{00000000-0008-0000-2A00-000007000000}"/>
                </a:ext>
              </a:extLst>
            </xdr14:cNvPr>
            <xdr14:cNvContentPartPr/>
          </xdr14:nvContentPartPr>
          <xdr14:nvPr macro=""/>
          <xdr14:xfrm>
            <a:off x="3330720" y="1216080"/>
            <a:ext cx="26280" cy="14760"/>
          </xdr14:xfrm>
        </xdr:contentPart>
      </mc:Choice>
      <mc:Fallback xmlns="">
        <xdr:pic>
          <xdr:nvPicPr>
            <xdr:cNvPr id="12" name="Ink 11">
              <a:extLst>
                <a:ext uri="{FF2B5EF4-FFF2-40B4-BE49-F238E27FC236}">
                  <a16:creationId xmlns:a16="http://schemas.microsoft.com/office/drawing/2014/main" id="{FB219FF4-9AD3-47B7-A9A8-8CF8C8307326}"/>
                </a:ext>
              </a:extLst>
            </xdr:cNvPr>
            <xdr:cNvPicPr/>
          </xdr:nvPicPr>
          <xdr:blipFill>
            <a:blip xmlns:r="http://schemas.openxmlformats.org/officeDocument/2006/relationships" r:embed="rId17"/>
            <a:stretch>
              <a:fillRect/>
            </a:stretch>
          </xdr:blipFill>
          <xdr:spPr>
            <a:xfrm>
              <a:off x="3321720" y="1207440"/>
              <a:ext cx="43920" cy="32400"/>
            </a:xfrm>
            <a:prstGeom prst="rect">
              <a:avLst/>
            </a:prstGeom>
          </xdr:spPr>
        </xdr:pic>
      </mc:Fallback>
    </mc:AlternateContent>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1224240</xdr:colOff>
      <xdr:row>1</xdr:row>
      <xdr:rowOff>161780</xdr:rowOff>
    </xdr:from>
    <xdr:to>
      <xdr:col>1</xdr:col>
      <xdr:colOff>1227480</xdr:colOff>
      <xdr:row>1</xdr:row>
      <xdr:rowOff>162140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2B00-000002000000}"/>
                </a:ext>
              </a:extLst>
            </xdr14:cNvPr>
            <xdr14:cNvContentPartPr/>
          </xdr14:nvContentPartPr>
          <xdr14:nvPr macro=""/>
          <xdr14:xfrm>
            <a:off x="1833840" y="326880"/>
            <a:ext cx="3240" cy="360"/>
          </xdr14:xfrm>
        </xdr:contentPart>
      </mc:Choice>
      <mc:Fallback xmlns="">
        <xdr:pic>
          <xdr:nvPicPr>
            <xdr:cNvPr id="5" name="Ink 4">
              <a:extLst>
                <a:ext uri="{FF2B5EF4-FFF2-40B4-BE49-F238E27FC236}">
                  <a16:creationId xmlns:a16="http://schemas.microsoft.com/office/drawing/2014/main" id="{D25C3C72-16B6-4AC6-BE96-FC8BFB09A04D}"/>
                </a:ext>
              </a:extLst>
            </xdr:cNvPr>
            <xdr:cNvPicPr/>
          </xdr:nvPicPr>
          <xdr:blipFill>
            <a:blip xmlns:r="http://schemas.openxmlformats.org/officeDocument/2006/relationships" r:embed="rId8"/>
            <a:stretch>
              <a:fillRect/>
            </a:stretch>
          </xdr:blipFill>
          <xdr:spPr>
            <a:xfrm>
              <a:off x="1824840" y="317880"/>
              <a:ext cx="20880" cy="18000"/>
            </a:xfrm>
            <a:prstGeom prst="rect">
              <a:avLst/>
            </a:prstGeom>
          </xdr:spPr>
        </xdr:pic>
      </mc:Fallback>
    </mc:AlternateContent>
    <xdr:clientData/>
  </xdr:twoCellAnchor>
</xdr:wsDr>
</file>

<file path=xl/drawings/drawing31.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80EA8920-4610-4D27-A03A-6FF0F804B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292A5F3C-99AA-4D2C-BCDF-E11746291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E12C7105-66A1-4DF5-BA8F-882826F25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257FE11D-868C-4087-926C-63EDCB345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CFAA6CB9-2FC8-4262-852C-888A58A2F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18</xdr:col>
      <xdr:colOff>361950</xdr:colOff>
      <xdr:row>1</xdr:row>
      <xdr:rowOff>9524</xdr:rowOff>
    </xdr:from>
    <xdr:to>
      <xdr:col>26</xdr:col>
      <xdr:colOff>57150</xdr:colOff>
      <xdr:row>21</xdr:row>
      <xdr:rowOff>152399</xdr:rowOff>
    </xdr:to>
    <xdr:graphicFrame macro="">
      <xdr:nvGraphicFramePr>
        <xdr:cNvPr id="2" name="Chart 1">
          <a:extLst>
            <a:ext uri="{FF2B5EF4-FFF2-40B4-BE49-F238E27FC236}">
              <a16:creationId xmlns:a16="http://schemas.microsoft.com/office/drawing/2014/main" id="{C4F96CEA-932D-4A95-B167-2BC930A32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18</xdr:col>
      <xdr:colOff>361950</xdr:colOff>
      <xdr:row>1</xdr:row>
      <xdr:rowOff>9524</xdr:rowOff>
    </xdr:from>
    <xdr:to>
      <xdr:col>26</xdr:col>
      <xdr:colOff>57150</xdr:colOff>
      <xdr:row>21</xdr:row>
      <xdr:rowOff>152399</xdr:rowOff>
    </xdr:to>
    <xdr:graphicFrame macro="">
      <xdr:nvGraphicFramePr>
        <xdr:cNvPr id="2" name="Chart 1">
          <a:extLst>
            <a:ext uri="{FF2B5EF4-FFF2-40B4-BE49-F238E27FC236}">
              <a16:creationId xmlns:a16="http://schemas.microsoft.com/office/drawing/2014/main" id="{5A1F73E7-C01E-4E71-B89F-133C9FA2E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536864</xdr:colOff>
      <xdr:row>0</xdr:row>
      <xdr:rowOff>0</xdr:rowOff>
    </xdr:from>
    <xdr:to>
      <xdr:col>34</xdr:col>
      <xdr:colOff>588818</xdr:colOff>
      <xdr:row>20</xdr:row>
      <xdr:rowOff>17318</xdr:rowOff>
    </xdr:to>
    <xdr:pic>
      <xdr:nvPicPr>
        <xdr:cNvPr id="3" name="Picture 2">
          <a:extLst>
            <a:ext uri="{FF2B5EF4-FFF2-40B4-BE49-F238E27FC236}">
              <a16:creationId xmlns:a16="http://schemas.microsoft.com/office/drawing/2014/main" id="{A57308C6-E45A-4094-B6E9-81C50A98C3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644014" y="0"/>
          <a:ext cx="4541404" cy="3192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CEB67AA1-1984-4047-8492-F47930732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6</xdr:col>
      <xdr:colOff>427181</xdr:colOff>
      <xdr:row>1</xdr:row>
      <xdr:rowOff>5774</xdr:rowOff>
    </xdr:from>
    <xdr:to>
      <xdr:col>14</xdr:col>
      <xdr:colOff>203200</xdr:colOff>
      <xdr:row>19</xdr:row>
      <xdr:rowOff>15875</xdr:rowOff>
    </xdr:to>
    <xdr:graphicFrame macro="">
      <xdr:nvGraphicFramePr>
        <xdr:cNvPr id="2" name="Chart 1">
          <a:extLst>
            <a:ext uri="{FF2B5EF4-FFF2-40B4-BE49-F238E27FC236}">
              <a16:creationId xmlns:a16="http://schemas.microsoft.com/office/drawing/2014/main" id="{5D0B467F-8AE3-46A5-8F1C-138CEF80C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571500</xdr:colOff>
          <xdr:row>1</xdr:row>
          <xdr:rowOff>83820</xdr:rowOff>
        </xdr:from>
        <xdr:to>
          <xdr:col>13</xdr:col>
          <xdr:colOff>15240</xdr:colOff>
          <xdr:row>5</xdr:row>
          <xdr:rowOff>38100</xdr:rowOff>
        </xdr:to>
        <xdr:sp macro="" textlink="">
          <xdr:nvSpPr>
            <xdr:cNvPr id="492545" name="Object 1" hidden="1">
              <a:extLst>
                <a:ext uri="{63B3BB69-23CF-44E3-9099-C40C66FF867C}">
                  <a14:compatExt spid="_x0000_s492545"/>
                </a:ext>
                <a:ext uri="{FF2B5EF4-FFF2-40B4-BE49-F238E27FC236}">
                  <a16:creationId xmlns:a16="http://schemas.microsoft.com/office/drawing/2014/main" id="{00000000-0008-0000-5300-000001840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xdr:row>
          <xdr:rowOff>0</xdr:rowOff>
        </xdr:from>
        <xdr:to>
          <xdr:col>14</xdr:col>
          <xdr:colOff>518160</xdr:colOff>
          <xdr:row>13</xdr:row>
          <xdr:rowOff>137160</xdr:rowOff>
        </xdr:to>
        <xdr:sp macro="" textlink="">
          <xdr:nvSpPr>
            <xdr:cNvPr id="492546" name="Object 2" hidden="1">
              <a:extLst>
                <a:ext uri="{63B3BB69-23CF-44E3-9099-C40C66FF867C}">
                  <a14:compatExt spid="_x0000_s492546"/>
                </a:ext>
                <a:ext uri="{FF2B5EF4-FFF2-40B4-BE49-F238E27FC236}">
                  <a16:creationId xmlns:a16="http://schemas.microsoft.com/office/drawing/2014/main" id="{00000000-0008-0000-5300-000002840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xdr:row>
          <xdr:rowOff>0</xdr:rowOff>
        </xdr:from>
        <xdr:to>
          <xdr:col>11</xdr:col>
          <xdr:colOff>228600</xdr:colOff>
          <xdr:row>18</xdr:row>
          <xdr:rowOff>114300</xdr:rowOff>
        </xdr:to>
        <xdr:sp macro="" textlink="">
          <xdr:nvSpPr>
            <xdr:cNvPr id="492547" name="Object 3" hidden="1">
              <a:extLst>
                <a:ext uri="{63B3BB69-23CF-44E3-9099-C40C66FF867C}">
                  <a14:compatExt spid="_x0000_s492547"/>
                </a:ext>
                <a:ext uri="{FF2B5EF4-FFF2-40B4-BE49-F238E27FC236}">
                  <a16:creationId xmlns:a16="http://schemas.microsoft.com/office/drawing/2014/main" id="{00000000-0008-0000-5300-000003840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15</xdr:col>
      <xdr:colOff>6840</xdr:colOff>
      <xdr:row>15</xdr:row>
      <xdr:rowOff>101728</xdr:rowOff>
    </xdr:to>
    <xdr:pic>
      <xdr:nvPicPr>
        <xdr:cNvPr id="2" name="Picture 1">
          <a:extLst>
            <a:ext uri="{FF2B5EF4-FFF2-40B4-BE49-F238E27FC236}">
              <a16:creationId xmlns:a16="http://schemas.microsoft.com/office/drawing/2014/main" id="{CBE1FBEB-81F2-4950-8CBE-01A0619C2852}"/>
            </a:ext>
          </a:extLst>
        </xdr:cNvPr>
        <xdr:cNvPicPr>
          <a:picLocks noChangeAspect="1"/>
        </xdr:cNvPicPr>
      </xdr:nvPicPr>
      <xdr:blipFill>
        <a:blip xmlns:r="http://schemas.openxmlformats.org/officeDocument/2006/relationships" r:embed="rId1"/>
        <a:stretch>
          <a:fillRect/>
        </a:stretch>
      </xdr:blipFill>
      <xdr:spPr>
        <a:xfrm>
          <a:off x="857250" y="0"/>
          <a:ext cx="9531840" cy="2482978"/>
        </a:xfrm>
        <a:prstGeom prst="rect">
          <a:avLst/>
        </a:prstGeom>
      </xdr:spPr>
    </xdr:pic>
    <xdr:clientData/>
  </xdr:twoCellAnchor>
  <xdr:twoCellAnchor editAs="oneCell">
    <xdr:from>
      <xdr:col>1</xdr:col>
      <xdr:colOff>82550</xdr:colOff>
      <xdr:row>14</xdr:row>
      <xdr:rowOff>152400</xdr:rowOff>
    </xdr:from>
    <xdr:to>
      <xdr:col>14</xdr:col>
      <xdr:colOff>412750</xdr:colOff>
      <xdr:row>31</xdr:row>
      <xdr:rowOff>82685</xdr:rowOff>
    </xdr:to>
    <xdr:pic>
      <xdr:nvPicPr>
        <xdr:cNvPr id="3" name="Picture 2">
          <a:extLst>
            <a:ext uri="{FF2B5EF4-FFF2-40B4-BE49-F238E27FC236}">
              <a16:creationId xmlns:a16="http://schemas.microsoft.com/office/drawing/2014/main" id="{CA0565E8-6C9D-429B-8564-F9451CBAFF3A}"/>
            </a:ext>
          </a:extLst>
        </xdr:cNvPr>
        <xdr:cNvPicPr>
          <a:picLocks noChangeAspect="1"/>
        </xdr:cNvPicPr>
      </xdr:nvPicPr>
      <xdr:blipFill>
        <a:blip xmlns:r="http://schemas.openxmlformats.org/officeDocument/2006/relationships" r:embed="rId2"/>
        <a:stretch>
          <a:fillRect/>
        </a:stretch>
      </xdr:blipFill>
      <xdr:spPr>
        <a:xfrm>
          <a:off x="939800" y="2374900"/>
          <a:ext cx="9213850" cy="262903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oneCellAnchor>
    <xdr:from>
      <xdr:col>6</xdr:col>
      <xdr:colOff>549275</xdr:colOff>
      <xdr:row>16</xdr:row>
      <xdr:rowOff>63500</xdr:rowOff>
    </xdr:from>
    <xdr:ext cx="344838" cy="34951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40D49B8-B5BD-4954-8CBD-CB14B938D78A}"/>
                </a:ext>
              </a:extLst>
            </xdr:cNvPr>
            <xdr:cNvSpPr txBox="1"/>
          </xdr:nvSpPr>
          <xdr:spPr>
            <a:xfrm>
              <a:off x="4702175" y="2616200"/>
              <a:ext cx="344838" cy="349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CA" sz="1100" i="1">
                            <a:latin typeface="Cambria Math" panose="02040503050406030204" pitchFamily="18" charset="0"/>
                          </a:rPr>
                        </m:ctrlPr>
                      </m:fPr>
                      <m:num>
                        <m:r>
                          <a:rPr lang="en-CA" sz="1100" i="1">
                            <a:latin typeface="Cambria Math" panose="02040503050406030204" pitchFamily="18" charset="0"/>
                            <a:ea typeface="Cambria Math" panose="02040503050406030204" pitchFamily="18" charset="0"/>
                          </a:rPr>
                          <m:t>𝛿</m:t>
                        </m:r>
                        <m:r>
                          <a:rPr lang="en-US" sz="1100" b="0" i="1">
                            <a:latin typeface="Cambria Math" panose="02040503050406030204" pitchFamily="18" charset="0"/>
                            <a:ea typeface="Cambria Math" panose="02040503050406030204" pitchFamily="18" charset="0"/>
                          </a:rPr>
                          <m:t>𝑐𝑎𝑙𝑙</m:t>
                        </m:r>
                      </m:num>
                      <m:den>
                        <m:r>
                          <a:rPr lang="en-CA" sz="1100" i="1">
                            <a:latin typeface="Cambria Math" panose="02040503050406030204" pitchFamily="18" charset="0"/>
                            <a:ea typeface="Cambria Math" panose="02040503050406030204" pitchFamily="18" charset="0"/>
                          </a:rPr>
                          <m:t>𝛿</m:t>
                        </m:r>
                        <m:sSub>
                          <m:sSubPr>
                            <m:ctrlPr>
                              <a:rPr lang="en-CA" sz="110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𝑆</m:t>
                            </m:r>
                          </m:e>
                          <m:sub>
                            <m:r>
                              <a:rPr lang="en-US" sz="1100" b="0" i="1">
                                <a:latin typeface="Cambria Math" panose="02040503050406030204" pitchFamily="18" charset="0"/>
                                <a:ea typeface="Cambria Math" panose="02040503050406030204" pitchFamily="18" charset="0"/>
                              </a:rPr>
                              <m:t>0</m:t>
                            </m:r>
                          </m:sub>
                        </m:sSub>
                      </m:den>
                    </m:f>
                  </m:oMath>
                </m:oMathPara>
              </a14:m>
              <a:endParaRPr lang="en-CA" sz="1100"/>
            </a:p>
          </xdr:txBody>
        </xdr:sp>
      </mc:Choice>
      <mc:Fallback xmlns="">
        <xdr:sp macro="" textlink="">
          <xdr:nvSpPr>
            <xdr:cNvPr id="2" name="TextBox 1">
              <a:extLst>
                <a:ext uri="{FF2B5EF4-FFF2-40B4-BE49-F238E27FC236}">
                  <a16:creationId xmlns:a16="http://schemas.microsoft.com/office/drawing/2014/main" id="{240D49B8-B5BD-4954-8CBD-CB14B938D78A}"/>
                </a:ext>
              </a:extLst>
            </xdr:cNvPr>
            <xdr:cNvSpPr txBox="1"/>
          </xdr:nvSpPr>
          <xdr:spPr>
            <a:xfrm>
              <a:off x="4702175" y="2616200"/>
              <a:ext cx="344838" cy="349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CA" sz="1100" i="0">
                  <a:latin typeface="Cambria Math" panose="02040503050406030204" pitchFamily="18" charset="0"/>
                  <a:ea typeface="Cambria Math" panose="02040503050406030204" pitchFamily="18" charset="0"/>
                </a:rPr>
                <a:t>𝛿</a:t>
              </a:r>
              <a:r>
                <a:rPr lang="en-US" sz="1100" b="0" i="0">
                  <a:latin typeface="Cambria Math" panose="02040503050406030204" pitchFamily="18" charset="0"/>
                  <a:ea typeface="Cambria Math" panose="02040503050406030204" pitchFamily="18" charset="0"/>
                </a:rPr>
                <a:t>𝑐𝑎𝑙𝑙</a:t>
              </a:r>
              <a:r>
                <a:rPr lang="en-CA" sz="1100" b="0" i="0">
                  <a:latin typeface="Cambria Math" panose="02040503050406030204" pitchFamily="18" charset="0"/>
                  <a:ea typeface="Cambria Math" panose="02040503050406030204" pitchFamily="18" charset="0"/>
                </a:rPr>
                <a:t>/(</a:t>
              </a:r>
              <a:r>
                <a:rPr lang="en-CA" sz="1100" i="0">
                  <a:latin typeface="Cambria Math" panose="02040503050406030204" pitchFamily="18" charset="0"/>
                  <a:ea typeface="Cambria Math" panose="02040503050406030204" pitchFamily="18" charset="0"/>
                </a:rPr>
                <a:t>𝛿</a:t>
              </a:r>
              <a:r>
                <a:rPr lang="en-US" sz="1100" b="0" i="0">
                  <a:latin typeface="Cambria Math" panose="02040503050406030204" pitchFamily="18" charset="0"/>
                  <a:ea typeface="Cambria Math" panose="02040503050406030204" pitchFamily="18" charset="0"/>
                </a:rPr>
                <a:t>𝑆</a:t>
              </a:r>
              <a:r>
                <a:rPr lang="en-CA" sz="1100" b="0" i="0">
                  <a:latin typeface="Cambria Math" panose="02040503050406030204" pitchFamily="18" charset="0"/>
                  <a:ea typeface="Cambria Math" panose="02040503050406030204" pitchFamily="18" charset="0"/>
                </a:rPr>
                <a:t>_</a:t>
              </a:r>
              <a:r>
                <a:rPr lang="en-US" sz="1100" b="0" i="0">
                  <a:latin typeface="Cambria Math" panose="02040503050406030204" pitchFamily="18" charset="0"/>
                  <a:ea typeface="Cambria Math" panose="02040503050406030204" pitchFamily="18" charset="0"/>
                </a:rPr>
                <a:t>0 </a:t>
              </a:r>
              <a:r>
                <a:rPr lang="en-CA" sz="1100" b="0" i="0">
                  <a:latin typeface="Cambria Math" panose="02040503050406030204" pitchFamily="18" charset="0"/>
                  <a:ea typeface="Cambria Math" panose="02040503050406030204" pitchFamily="18" charset="0"/>
                </a:rPr>
                <a:t>)</a:t>
              </a:r>
              <a:endParaRPr lang="en-CA" sz="1100"/>
            </a:p>
          </xdr:txBody>
        </xdr:sp>
      </mc:Fallback>
    </mc:AlternateContent>
    <xdr:clientData/>
  </xdr:oneCellAnchor>
  <mc:AlternateContent xmlns:mc="http://schemas.openxmlformats.org/markup-compatibility/2006">
    <mc:Choice xmlns:a14="http://schemas.microsoft.com/office/drawing/2010/main" Requires="a14">
      <xdr:twoCellAnchor editAs="oneCell">
        <xdr:from>
          <xdr:col>3</xdr:col>
          <xdr:colOff>22860</xdr:colOff>
          <xdr:row>20</xdr:row>
          <xdr:rowOff>114300</xdr:rowOff>
        </xdr:from>
        <xdr:to>
          <xdr:col>7</xdr:col>
          <xdr:colOff>381000</xdr:colOff>
          <xdr:row>23</xdr:row>
          <xdr:rowOff>68580</xdr:rowOff>
        </xdr:to>
        <xdr:sp macro="" textlink="">
          <xdr:nvSpPr>
            <xdr:cNvPr id="521217" name="Object 1" hidden="1">
              <a:extLst>
                <a:ext uri="{63B3BB69-23CF-44E3-9099-C40C66FF867C}">
                  <a14:compatExt spid="_x0000_s521217"/>
                </a:ext>
                <a:ext uri="{FF2B5EF4-FFF2-40B4-BE49-F238E27FC236}">
                  <a16:creationId xmlns:a16="http://schemas.microsoft.com/office/drawing/2014/main" id="{00000000-0008-0000-5600-000001F40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3</xdr:col>
      <xdr:colOff>0</xdr:colOff>
      <xdr:row>26</xdr:row>
      <xdr:rowOff>0</xdr:rowOff>
    </xdr:from>
    <xdr:ext cx="896336" cy="35054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62D3E2C-EDDD-49B6-956B-0CC434103EC8}"/>
                </a:ext>
              </a:extLst>
            </xdr:cNvPr>
            <xdr:cNvSpPr txBox="1"/>
          </xdr:nvSpPr>
          <xdr:spPr>
            <a:xfrm>
              <a:off x="2228850" y="4140200"/>
              <a:ext cx="896336" cy="350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CA" sz="1100" i="1">
                            <a:latin typeface="Cambria Math" panose="02040503050406030204" pitchFamily="18" charset="0"/>
                          </a:rPr>
                        </m:ctrlPr>
                      </m:fPr>
                      <m:num>
                        <m:r>
                          <a:rPr lang="en-CA" sz="1100" i="1">
                            <a:latin typeface="Cambria Math" panose="02040503050406030204" pitchFamily="18" charset="0"/>
                            <a:ea typeface="Cambria Math" panose="02040503050406030204" pitchFamily="18" charset="0"/>
                          </a:rPr>
                          <m:t>𝛿</m:t>
                        </m:r>
                        <m:r>
                          <a:rPr lang="en-US" sz="1100" b="0" i="1">
                            <a:latin typeface="Cambria Math" panose="02040503050406030204" pitchFamily="18" charset="0"/>
                            <a:ea typeface="Cambria Math" panose="02040503050406030204" pitchFamily="18" charset="0"/>
                          </a:rPr>
                          <m:t>𝑐𝑎𝑙𝑙</m:t>
                        </m:r>
                      </m:num>
                      <m:den>
                        <m:r>
                          <a:rPr lang="en-CA" sz="1100" i="1">
                            <a:latin typeface="Cambria Math" panose="02040503050406030204" pitchFamily="18" charset="0"/>
                            <a:ea typeface="Cambria Math" panose="02040503050406030204" pitchFamily="18" charset="0"/>
                          </a:rPr>
                          <m:t>𝛿</m:t>
                        </m:r>
                        <m:sSub>
                          <m:sSubPr>
                            <m:ctrlPr>
                              <a:rPr lang="en-CA" sz="110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𝑆</m:t>
                            </m:r>
                          </m:e>
                          <m:sub>
                            <m:r>
                              <a:rPr lang="en-US" sz="1100" b="0" i="1">
                                <a:latin typeface="Cambria Math" panose="02040503050406030204" pitchFamily="18" charset="0"/>
                                <a:ea typeface="Cambria Math" panose="02040503050406030204" pitchFamily="18" charset="0"/>
                              </a:rPr>
                              <m:t>0</m:t>
                            </m:r>
                          </m:sub>
                        </m:sSub>
                      </m:den>
                    </m:f>
                    <m:r>
                      <a:rPr lang="en-US" sz="1100" b="0" i="1">
                        <a:latin typeface="Cambria Math" panose="02040503050406030204" pitchFamily="18" charset="0"/>
                      </a:rPr>
                      <m:t>=</m:t>
                    </m:r>
                    <m:r>
                      <a:rPr lang="en-US" sz="1100" b="0" i="1">
                        <a:latin typeface="Cambria Math" panose="02040503050406030204" pitchFamily="18" charset="0"/>
                      </a:rPr>
                      <m:t>𝑁</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𝑑</m:t>
                        </m:r>
                      </m:e>
                      <m:sub>
                        <m:r>
                          <a:rPr lang="en-US" sz="1100" b="0" i="1">
                            <a:latin typeface="Cambria Math" panose="02040503050406030204" pitchFamily="18" charset="0"/>
                          </a:rPr>
                          <m:t>1</m:t>
                        </m:r>
                      </m:sub>
                    </m:sSub>
                    <m:r>
                      <a:rPr lang="en-US" sz="1100" b="0" i="1">
                        <a:latin typeface="Cambria Math" panose="02040503050406030204" pitchFamily="18" charset="0"/>
                      </a:rPr>
                      <m:t>)</m:t>
                    </m:r>
                  </m:oMath>
                </m:oMathPara>
              </a14:m>
              <a:endParaRPr lang="en-CA" sz="1100"/>
            </a:p>
          </xdr:txBody>
        </xdr:sp>
      </mc:Choice>
      <mc:Fallback xmlns="">
        <xdr:sp macro="" textlink="">
          <xdr:nvSpPr>
            <xdr:cNvPr id="3" name="TextBox 2">
              <a:extLst>
                <a:ext uri="{FF2B5EF4-FFF2-40B4-BE49-F238E27FC236}">
                  <a16:creationId xmlns:a16="http://schemas.microsoft.com/office/drawing/2014/main" id="{462D3E2C-EDDD-49B6-956B-0CC434103EC8}"/>
                </a:ext>
              </a:extLst>
            </xdr:cNvPr>
            <xdr:cNvSpPr txBox="1"/>
          </xdr:nvSpPr>
          <xdr:spPr>
            <a:xfrm>
              <a:off x="2228850" y="4140200"/>
              <a:ext cx="896336" cy="350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CA" sz="1100" i="0">
                  <a:latin typeface="Cambria Math" panose="02040503050406030204" pitchFamily="18" charset="0"/>
                  <a:ea typeface="Cambria Math" panose="02040503050406030204" pitchFamily="18" charset="0"/>
                </a:rPr>
                <a:t>𝛿</a:t>
              </a:r>
              <a:r>
                <a:rPr lang="en-US" sz="1100" b="0" i="0">
                  <a:latin typeface="Cambria Math" panose="02040503050406030204" pitchFamily="18" charset="0"/>
                  <a:ea typeface="Cambria Math" panose="02040503050406030204" pitchFamily="18" charset="0"/>
                </a:rPr>
                <a:t>𝑐𝑎𝑙𝑙</a:t>
              </a:r>
              <a:r>
                <a:rPr lang="en-CA" sz="1100" b="0" i="0">
                  <a:latin typeface="Cambria Math" panose="02040503050406030204" pitchFamily="18" charset="0"/>
                  <a:ea typeface="Cambria Math" panose="02040503050406030204" pitchFamily="18" charset="0"/>
                </a:rPr>
                <a:t>/(</a:t>
              </a:r>
              <a:r>
                <a:rPr lang="en-CA" sz="1100" i="0">
                  <a:latin typeface="Cambria Math" panose="02040503050406030204" pitchFamily="18" charset="0"/>
                  <a:ea typeface="Cambria Math" panose="02040503050406030204" pitchFamily="18" charset="0"/>
                </a:rPr>
                <a:t>𝛿</a:t>
              </a:r>
              <a:r>
                <a:rPr lang="en-US" sz="1100" b="0" i="0">
                  <a:latin typeface="Cambria Math" panose="02040503050406030204" pitchFamily="18" charset="0"/>
                  <a:ea typeface="Cambria Math" panose="02040503050406030204" pitchFamily="18" charset="0"/>
                </a:rPr>
                <a:t>𝑆</a:t>
              </a:r>
              <a:r>
                <a:rPr lang="en-CA" sz="1100" b="0" i="0">
                  <a:latin typeface="Cambria Math" panose="02040503050406030204" pitchFamily="18" charset="0"/>
                  <a:ea typeface="Cambria Math" panose="02040503050406030204" pitchFamily="18" charset="0"/>
                </a:rPr>
                <a:t>_</a:t>
              </a:r>
              <a:r>
                <a:rPr lang="en-US" sz="1100" b="0" i="0">
                  <a:latin typeface="Cambria Math" panose="02040503050406030204" pitchFamily="18" charset="0"/>
                  <a:ea typeface="Cambria Math" panose="02040503050406030204" pitchFamily="18" charset="0"/>
                </a:rPr>
                <a:t>0 </a:t>
              </a:r>
              <a:r>
                <a:rPr lang="en-CA"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=𝑁(𝑑_1)</a:t>
              </a:r>
              <a:endParaRPr lang="en-CA" sz="1100"/>
            </a:p>
          </xdr:txBody>
        </xdr:sp>
      </mc:Fallback>
    </mc:AlternateContent>
    <xdr:clientData/>
  </xdr:oneCellAnchor>
</xdr:wsDr>
</file>

<file path=xl/drawings/drawing43.xml><?xml version="1.0" encoding="utf-8"?>
<xdr:wsDr xmlns:xdr="http://schemas.openxmlformats.org/drawingml/2006/spreadsheetDrawing" xmlns:a="http://schemas.openxmlformats.org/drawingml/2006/main">
  <xdr:twoCellAnchor>
    <xdr:from>
      <xdr:col>6</xdr:col>
      <xdr:colOff>427181</xdr:colOff>
      <xdr:row>1</xdr:row>
      <xdr:rowOff>5774</xdr:rowOff>
    </xdr:from>
    <xdr:to>
      <xdr:col>14</xdr:col>
      <xdr:colOff>203200</xdr:colOff>
      <xdr:row>19</xdr:row>
      <xdr:rowOff>15875</xdr:rowOff>
    </xdr:to>
    <xdr:graphicFrame macro="">
      <xdr:nvGraphicFramePr>
        <xdr:cNvPr id="2" name="Chart 1">
          <a:extLst>
            <a:ext uri="{FF2B5EF4-FFF2-40B4-BE49-F238E27FC236}">
              <a16:creationId xmlns:a16="http://schemas.microsoft.com/office/drawing/2014/main" id="{5063D983-3291-4324-89BA-F6966BE3A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5</xdr:col>
      <xdr:colOff>406400</xdr:colOff>
      <xdr:row>1</xdr:row>
      <xdr:rowOff>107950</xdr:rowOff>
    </xdr:from>
    <xdr:to>
      <xdr:col>10</xdr:col>
      <xdr:colOff>488950</xdr:colOff>
      <xdr:row>5</xdr:row>
      <xdr:rowOff>65087</xdr:rowOff>
    </xdr:to>
    <mc:AlternateContent xmlns:mc="http://schemas.openxmlformats.org/markup-compatibility/2006" xmlns:a14="http://schemas.microsoft.com/office/drawing/2010/main">
      <mc:Choice Requires="a14">
        <xdr:sp macro="" textlink="">
          <xdr:nvSpPr>
            <xdr:cNvPr id="2" name="Object 0">
              <a:extLst>
                <a:ext uri="{FF2B5EF4-FFF2-40B4-BE49-F238E27FC236}">
                  <a16:creationId xmlns:a16="http://schemas.microsoft.com/office/drawing/2014/main" id="{A508BBFB-05DC-49E2-9EDF-A516C5C8F8B0}"/>
                </a:ext>
              </a:extLst>
            </xdr:cNvPr>
            <xdr:cNvSpPr txBox="1"/>
          </xdr:nvSpPr>
          <xdr:spPr bwMode="auto">
            <a:xfrm>
              <a:off x="5137150" y="266700"/>
              <a:ext cx="3378200" cy="592137"/>
            </a:xfrm>
            <a:prstGeom prst="rect">
              <a:avLst/>
            </a:prstGeom>
            <a:noFill/>
            <a:ln>
              <a:noFill/>
            </a:ln>
            <a:effectLst/>
          </xdr:spPr>
          <xdr:txBody>
            <a:bodyPr wrap="square">
              <a:normAutofit/>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14:m>
                <m:oMathPara xmlns:m="http://schemas.openxmlformats.org/officeDocument/2006/math">
                  <m:oMathParaPr>
                    <m:jc m:val="left"/>
                  </m:oMathParaPr>
                  <m:oMath xmlns:m="http://schemas.openxmlformats.org/officeDocument/2006/math">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𝑆</m:t>
                        </m:r>
                      </m:e>
                      <m:sub>
                        <m:r>
                          <a:rPr lang="en-CA" i="1">
                            <a:solidFill>
                              <a:srgbClr val="000000"/>
                            </a:solidFill>
                            <a:latin typeface="Cambria Math" panose="02040503050406030204" pitchFamily="18" charset="0"/>
                          </a:rPr>
                          <m:t>0</m:t>
                        </m:r>
                      </m:sub>
                    </m:sSub>
                    <m:sSup>
                      <m:sSupPr>
                        <m:ctrlPr>
                          <a:rPr lang="en-CA" i="1">
                            <a:solidFill>
                              <a:srgbClr val="000000"/>
                            </a:solidFill>
                            <a:latin typeface="Cambria Math" panose="02040503050406030204" pitchFamily="18" charset="0"/>
                          </a:rPr>
                        </m:ctrlPr>
                      </m:sSupPr>
                      <m:e>
                        <m:r>
                          <a:rPr lang="en-CA" i="1">
                            <a:solidFill>
                              <a:srgbClr val="000000"/>
                            </a:solidFill>
                            <a:latin typeface="Cambria Math" panose="02040503050406030204" pitchFamily="18" charset="0"/>
                          </a:rPr>
                          <m:t>𝑒</m:t>
                        </m:r>
                      </m:e>
                      <m:sup>
                        <m:r>
                          <a:rPr lang="en-CA" i="1">
                            <a:solidFill>
                              <a:srgbClr val="000000"/>
                            </a:solidFill>
                            <a:latin typeface="Cambria Math" panose="02040503050406030204" pitchFamily="18" charset="0"/>
                          </a:rPr>
                          <m:t>−</m:t>
                        </m:r>
                        <m:r>
                          <a:rPr lang="en-US" b="0" i="1">
                            <a:solidFill>
                              <a:srgbClr val="000000"/>
                            </a:solidFill>
                            <a:latin typeface="Cambria Math" panose="02040503050406030204" pitchFamily="18" charset="0"/>
                          </a:rPr>
                          <m:t>𝑞</m:t>
                        </m:r>
                        <m:r>
                          <a:rPr lang="en-CA" i="1">
                            <a:solidFill>
                              <a:srgbClr val="000000"/>
                            </a:solidFill>
                            <a:latin typeface="Cambria Math" panose="02040503050406030204" pitchFamily="18" charset="0"/>
                          </a:rPr>
                          <m:t>𝑇</m:t>
                        </m:r>
                      </m:sup>
                    </m:sSup>
                    <m:r>
                      <a:rPr lang="en-CA" i="1">
                        <a:solidFill>
                          <a:srgbClr val="000000"/>
                        </a:solidFill>
                        <a:latin typeface="Cambria Math" panose="02040503050406030204" pitchFamily="18" charset="0"/>
                      </a:rPr>
                      <m:t>𝑁</m:t>
                    </m:r>
                    <m:r>
                      <a:rPr lang="en-CA" i="1">
                        <a:solidFill>
                          <a:srgbClr val="000000"/>
                        </a:solidFill>
                        <a:latin typeface="Cambria Math" panose="02040503050406030204" pitchFamily="18" charset="0"/>
                      </a:rPr>
                      <m:t>(</m:t>
                    </m:r>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1</m:t>
                        </m:r>
                      </m:sub>
                    </m:sSub>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𝑋</m:t>
                    </m:r>
                    <m:sSup>
                      <m:sSupPr>
                        <m:ctrlPr>
                          <a:rPr lang="en-CA" i="1">
                            <a:solidFill>
                              <a:srgbClr val="000000"/>
                            </a:solidFill>
                            <a:latin typeface="Cambria Math" panose="02040503050406030204" pitchFamily="18" charset="0"/>
                          </a:rPr>
                        </m:ctrlPr>
                      </m:sSupPr>
                      <m:e>
                        <m:r>
                          <a:rPr lang="en-CA" i="1">
                            <a:solidFill>
                              <a:srgbClr val="000000"/>
                            </a:solidFill>
                            <a:latin typeface="Cambria Math" panose="02040503050406030204" pitchFamily="18" charset="0"/>
                          </a:rPr>
                          <m:t>𝑒</m:t>
                        </m:r>
                      </m:e>
                      <m:sup>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𝑟𝑇</m:t>
                        </m:r>
                      </m:sup>
                    </m:sSup>
                    <m:r>
                      <a:rPr lang="en-CA" i="1">
                        <a:solidFill>
                          <a:srgbClr val="000000"/>
                        </a:solidFill>
                        <a:latin typeface="Cambria Math" panose="02040503050406030204" pitchFamily="18" charset="0"/>
                      </a:rPr>
                      <m:t>𝑁</m:t>
                    </m:r>
                    <m:r>
                      <a:rPr lang="en-CA" i="1">
                        <a:solidFill>
                          <a:srgbClr val="000000"/>
                        </a:solidFill>
                        <a:latin typeface="Cambria Math" panose="02040503050406030204" pitchFamily="18" charset="0"/>
                      </a:rPr>
                      <m:t>(</m:t>
                    </m:r>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2</m:t>
                        </m:r>
                      </m:sub>
                    </m:sSub>
                    <m:r>
                      <a:rPr lang="en-CA" i="1">
                        <a:solidFill>
                          <a:srgbClr val="000000"/>
                        </a:solidFill>
                        <a:latin typeface="Cambria Math" panose="02040503050406030204" pitchFamily="18" charset="0"/>
                      </a:rPr>
                      <m:t>)</m:t>
                    </m:r>
                  </m:oMath>
                </m:oMathPara>
              </a14:m>
              <a:endParaRPr lang="en-CA"/>
            </a:p>
          </xdr:txBody>
        </xdr:sp>
      </mc:Choice>
      <mc:Fallback xmlns="">
        <xdr:sp macro="" textlink="">
          <xdr:nvSpPr>
            <xdr:cNvPr id="2" name="Object 0">
              <a:extLst>
                <a:ext uri="{FF2B5EF4-FFF2-40B4-BE49-F238E27FC236}">
                  <a16:creationId xmlns:a16="http://schemas.microsoft.com/office/drawing/2014/main" id="{A508BBFB-05DC-49E2-9EDF-A516C5C8F8B0}"/>
                </a:ext>
              </a:extLst>
            </xdr:cNvPr>
            <xdr:cNvSpPr txBox="1"/>
          </xdr:nvSpPr>
          <xdr:spPr bwMode="auto">
            <a:xfrm>
              <a:off x="5137150" y="266700"/>
              <a:ext cx="3378200" cy="592137"/>
            </a:xfrm>
            <a:prstGeom prst="rect">
              <a:avLst/>
            </a:prstGeom>
            <a:noFill/>
            <a:ln>
              <a:noFill/>
            </a:ln>
            <a:effectLst/>
          </xdr:spPr>
          <xdr:txBody>
            <a:bodyPr wrap="square">
              <a:normAutofit/>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r>
                <a:rPr lang="en-CA" i="0">
                  <a:solidFill>
                    <a:srgbClr val="000000"/>
                  </a:solidFill>
                  <a:latin typeface="Cambria Math" panose="02040503050406030204" pitchFamily="18" charset="0"/>
                </a:rPr>
                <a:t>𝑆_0 𝑒^(−</a:t>
              </a:r>
              <a:r>
                <a:rPr lang="en-US" b="0" i="0">
                  <a:solidFill>
                    <a:srgbClr val="000000"/>
                  </a:solidFill>
                  <a:latin typeface="Cambria Math" panose="02040503050406030204" pitchFamily="18" charset="0"/>
                </a:rPr>
                <a:t>𝑞</a:t>
              </a:r>
              <a:r>
                <a:rPr lang="en-CA" i="0">
                  <a:solidFill>
                    <a:srgbClr val="000000"/>
                  </a:solidFill>
                  <a:latin typeface="Cambria Math" panose="02040503050406030204" pitchFamily="18" charset="0"/>
                </a:rPr>
                <a:t>𝑇) 𝑁(𝑑_1)−𝑋𝑒^(−𝑟𝑇) 𝑁(𝑑_2)</a:t>
              </a:r>
              <a:endParaRPr lang="en-CA"/>
            </a:p>
          </xdr:txBody>
        </xdr:sp>
      </mc:Fallback>
    </mc:AlternateContent>
    <xdr:clientData/>
  </xdr:twoCellAnchor>
  <xdr:twoCellAnchor>
    <xdr:from>
      <xdr:col>5</xdr:col>
      <xdr:colOff>361950</xdr:colOff>
      <xdr:row>4</xdr:row>
      <xdr:rowOff>120650</xdr:rowOff>
    </xdr:from>
    <xdr:to>
      <xdr:col>10</xdr:col>
      <xdr:colOff>444500</xdr:colOff>
      <xdr:row>8</xdr:row>
      <xdr:rowOff>77787</xdr:rowOff>
    </xdr:to>
    <mc:AlternateContent xmlns:mc="http://schemas.openxmlformats.org/markup-compatibility/2006" xmlns:a14="http://schemas.microsoft.com/office/drawing/2010/main">
      <mc:Choice Requires="a14">
        <xdr:sp macro="" textlink="">
          <xdr:nvSpPr>
            <xdr:cNvPr id="3" name="Object 0">
              <a:extLst>
                <a:ext uri="{FF2B5EF4-FFF2-40B4-BE49-F238E27FC236}">
                  <a16:creationId xmlns:a16="http://schemas.microsoft.com/office/drawing/2014/main" id="{76404946-0545-4ED4-81F4-1B0BC09DC83C}"/>
                </a:ext>
              </a:extLst>
            </xdr:cNvPr>
            <xdr:cNvSpPr txBox="1"/>
          </xdr:nvSpPr>
          <xdr:spPr bwMode="auto">
            <a:xfrm>
              <a:off x="5092700" y="755650"/>
              <a:ext cx="3378200" cy="592137"/>
            </a:xfrm>
            <a:prstGeom prst="rect">
              <a:avLst/>
            </a:prstGeom>
            <a:noFill/>
            <a:ln>
              <a:noFill/>
            </a:ln>
            <a:effectLst/>
          </xdr:spPr>
          <xdr:txBody>
            <a:bodyPr wrap="square">
              <a:normAutofit fontScale="92500"/>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14:m>
                <m:oMathPara xmlns:m="http://schemas.openxmlformats.org/officeDocument/2006/math">
                  <m:oMathParaPr>
                    <m:jc m:val="left"/>
                  </m:oMathParaPr>
                  <m:oMath xmlns:m="http://schemas.openxmlformats.org/officeDocument/2006/math">
                    <m:sSub>
                      <m:sSubPr>
                        <m:ctrlPr>
                          <a:rPr lang="en-CA" i="1">
                            <a:solidFill>
                              <a:srgbClr val="000000"/>
                            </a:solidFill>
                            <a:latin typeface="Cambria Math" panose="02040503050406030204" pitchFamily="18" charset="0"/>
                          </a:rPr>
                        </m:ctrlPr>
                      </m:sSubPr>
                      <m:e>
                        <m:r>
                          <a:rPr lang="en-US" b="0"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𝑆</m:t>
                        </m:r>
                      </m:e>
                      <m:sub>
                        <m:r>
                          <a:rPr lang="en-CA" i="1">
                            <a:solidFill>
                              <a:srgbClr val="000000"/>
                            </a:solidFill>
                            <a:latin typeface="Cambria Math" panose="02040503050406030204" pitchFamily="18" charset="0"/>
                          </a:rPr>
                          <m:t>0</m:t>
                        </m:r>
                      </m:sub>
                    </m:sSub>
                    <m:sSup>
                      <m:sSupPr>
                        <m:ctrlPr>
                          <a:rPr lang="en-CA" i="1">
                            <a:solidFill>
                              <a:srgbClr val="000000"/>
                            </a:solidFill>
                            <a:latin typeface="Cambria Math" panose="02040503050406030204" pitchFamily="18" charset="0"/>
                          </a:rPr>
                        </m:ctrlPr>
                      </m:sSupPr>
                      <m:e>
                        <m:r>
                          <a:rPr lang="en-CA" i="1">
                            <a:solidFill>
                              <a:srgbClr val="000000"/>
                            </a:solidFill>
                            <a:latin typeface="Cambria Math" panose="02040503050406030204" pitchFamily="18" charset="0"/>
                          </a:rPr>
                          <m:t>𝑒</m:t>
                        </m:r>
                      </m:e>
                      <m:sup>
                        <m:r>
                          <a:rPr lang="en-CA" i="1">
                            <a:solidFill>
                              <a:srgbClr val="000000"/>
                            </a:solidFill>
                            <a:latin typeface="Cambria Math" panose="02040503050406030204" pitchFamily="18" charset="0"/>
                          </a:rPr>
                          <m:t>−</m:t>
                        </m:r>
                        <m:r>
                          <a:rPr lang="en-US" b="0" i="1">
                            <a:solidFill>
                              <a:srgbClr val="000000"/>
                            </a:solidFill>
                            <a:latin typeface="Cambria Math" panose="02040503050406030204" pitchFamily="18" charset="0"/>
                          </a:rPr>
                          <m:t>𝑞</m:t>
                        </m:r>
                        <m:r>
                          <a:rPr lang="en-CA" i="1">
                            <a:solidFill>
                              <a:srgbClr val="000000"/>
                            </a:solidFill>
                            <a:latin typeface="Cambria Math" panose="02040503050406030204" pitchFamily="18" charset="0"/>
                          </a:rPr>
                          <m:t>𝑇</m:t>
                        </m:r>
                      </m:sup>
                    </m:sSup>
                    <m:r>
                      <a:rPr lang="en-CA" i="1">
                        <a:solidFill>
                          <a:srgbClr val="000000"/>
                        </a:solidFill>
                        <a:latin typeface="Cambria Math" panose="02040503050406030204" pitchFamily="18" charset="0"/>
                      </a:rPr>
                      <m:t>𝑁</m:t>
                    </m:r>
                    <m:d>
                      <m:dPr>
                        <m:ctrlPr>
                          <a:rPr lang="en-CA" i="1">
                            <a:solidFill>
                              <a:srgbClr val="000000"/>
                            </a:solidFill>
                            <a:latin typeface="Cambria Math" panose="02040503050406030204" pitchFamily="18" charset="0"/>
                          </a:rPr>
                        </m:ctrlPr>
                      </m:dPr>
                      <m:e>
                        <m:r>
                          <a:rPr lang="en-US" b="0" i="1">
                            <a:solidFill>
                              <a:srgbClr val="000000"/>
                            </a:solidFill>
                            <a:latin typeface="Cambria Math" panose="02040503050406030204" pitchFamily="18" charset="0"/>
                          </a:rPr>
                          <m:t>−</m:t>
                        </m:r>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1</m:t>
                            </m:r>
                          </m:sub>
                        </m:sSub>
                      </m:e>
                    </m:d>
                    <m:r>
                      <a:rPr lang="en-US" b="0"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𝑋</m:t>
                    </m:r>
                    <m:sSup>
                      <m:sSupPr>
                        <m:ctrlPr>
                          <a:rPr lang="en-CA" i="1">
                            <a:solidFill>
                              <a:srgbClr val="000000"/>
                            </a:solidFill>
                            <a:latin typeface="Cambria Math" panose="02040503050406030204" pitchFamily="18" charset="0"/>
                          </a:rPr>
                        </m:ctrlPr>
                      </m:sSupPr>
                      <m:e>
                        <m:r>
                          <a:rPr lang="en-CA" i="1">
                            <a:solidFill>
                              <a:srgbClr val="000000"/>
                            </a:solidFill>
                            <a:latin typeface="Cambria Math" panose="02040503050406030204" pitchFamily="18" charset="0"/>
                          </a:rPr>
                          <m:t>𝑒</m:t>
                        </m:r>
                      </m:e>
                      <m:sup>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𝑟𝑇</m:t>
                        </m:r>
                      </m:sup>
                    </m:sSup>
                    <m:r>
                      <a:rPr lang="en-CA" i="1">
                        <a:solidFill>
                          <a:srgbClr val="000000"/>
                        </a:solidFill>
                        <a:latin typeface="Cambria Math" panose="02040503050406030204" pitchFamily="18" charset="0"/>
                      </a:rPr>
                      <m:t>𝑁</m:t>
                    </m:r>
                    <m:r>
                      <a:rPr lang="en-CA" i="1">
                        <a:solidFill>
                          <a:srgbClr val="000000"/>
                        </a:solidFill>
                        <a:latin typeface="Cambria Math" panose="02040503050406030204" pitchFamily="18" charset="0"/>
                      </a:rPr>
                      <m:t>(−</m:t>
                    </m:r>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2</m:t>
                        </m:r>
                      </m:sub>
                    </m:sSub>
                    <m:r>
                      <a:rPr lang="en-CA" i="1">
                        <a:solidFill>
                          <a:srgbClr val="000000"/>
                        </a:solidFill>
                        <a:latin typeface="Cambria Math" panose="02040503050406030204" pitchFamily="18" charset="0"/>
                      </a:rPr>
                      <m:t>)</m:t>
                    </m:r>
                  </m:oMath>
                </m:oMathPara>
              </a14:m>
              <a:endParaRPr lang="en-CA"/>
            </a:p>
          </xdr:txBody>
        </xdr:sp>
      </mc:Choice>
      <mc:Fallback xmlns="">
        <xdr:sp macro="" textlink="">
          <xdr:nvSpPr>
            <xdr:cNvPr id="3" name="Object 0">
              <a:extLst>
                <a:ext uri="{FF2B5EF4-FFF2-40B4-BE49-F238E27FC236}">
                  <a16:creationId xmlns:a16="http://schemas.microsoft.com/office/drawing/2014/main" id="{76404946-0545-4ED4-81F4-1B0BC09DC83C}"/>
                </a:ext>
              </a:extLst>
            </xdr:cNvPr>
            <xdr:cNvSpPr txBox="1"/>
          </xdr:nvSpPr>
          <xdr:spPr bwMode="auto">
            <a:xfrm>
              <a:off x="5092700" y="755650"/>
              <a:ext cx="3378200" cy="592137"/>
            </a:xfrm>
            <a:prstGeom prst="rect">
              <a:avLst/>
            </a:prstGeom>
            <a:noFill/>
            <a:ln>
              <a:noFill/>
            </a:ln>
            <a:effectLst/>
          </xdr:spPr>
          <xdr:txBody>
            <a:bodyPr wrap="square">
              <a:normAutofit fontScale="92500"/>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r>
                <a:rPr lang="en-CA" i="0">
                  <a:solidFill>
                    <a:srgbClr val="000000"/>
                  </a:solidFill>
                  <a:latin typeface="Cambria Math" panose="02040503050406030204" pitchFamily="18" charset="0"/>
                </a:rPr>
                <a:t>〖</a:t>
              </a:r>
              <a:r>
                <a:rPr lang="en-US" b="0" i="0">
                  <a:solidFill>
                    <a:srgbClr val="000000"/>
                  </a:solidFill>
                  <a:latin typeface="Cambria Math" panose="02040503050406030204" pitchFamily="18" charset="0"/>
                </a:rPr>
                <a:t>−</a:t>
              </a:r>
              <a:r>
                <a:rPr lang="en-CA" i="0">
                  <a:solidFill>
                    <a:srgbClr val="000000"/>
                  </a:solidFill>
                  <a:latin typeface="Cambria Math" panose="02040503050406030204" pitchFamily="18" charset="0"/>
                </a:rPr>
                <a:t>𝑆〗_0 𝑒^(−</a:t>
              </a:r>
              <a:r>
                <a:rPr lang="en-US" b="0" i="0">
                  <a:solidFill>
                    <a:srgbClr val="000000"/>
                  </a:solidFill>
                  <a:latin typeface="Cambria Math" panose="02040503050406030204" pitchFamily="18" charset="0"/>
                </a:rPr>
                <a:t>𝑞</a:t>
              </a:r>
              <a:r>
                <a:rPr lang="en-CA" i="0">
                  <a:solidFill>
                    <a:srgbClr val="000000"/>
                  </a:solidFill>
                  <a:latin typeface="Cambria Math" panose="02040503050406030204" pitchFamily="18" charset="0"/>
                </a:rPr>
                <a:t>𝑇) 𝑁(</a:t>
              </a:r>
              <a:r>
                <a:rPr lang="en-US" b="0" i="0">
                  <a:solidFill>
                    <a:srgbClr val="000000"/>
                  </a:solidFill>
                  <a:latin typeface="Cambria Math" panose="02040503050406030204" pitchFamily="18" charset="0"/>
                </a:rPr>
                <a:t>−</a:t>
              </a:r>
              <a:r>
                <a:rPr lang="en-CA" i="0">
                  <a:solidFill>
                    <a:srgbClr val="000000"/>
                  </a:solidFill>
                  <a:latin typeface="Cambria Math" panose="02040503050406030204" pitchFamily="18" charset="0"/>
                </a:rPr>
                <a:t>𝑑_1 )</a:t>
              </a:r>
              <a:r>
                <a:rPr lang="en-US" b="0" i="0">
                  <a:solidFill>
                    <a:srgbClr val="000000"/>
                  </a:solidFill>
                  <a:latin typeface="Cambria Math" panose="02040503050406030204" pitchFamily="18" charset="0"/>
                </a:rPr>
                <a:t>+</a:t>
              </a:r>
              <a:r>
                <a:rPr lang="en-CA" i="0">
                  <a:solidFill>
                    <a:srgbClr val="000000"/>
                  </a:solidFill>
                  <a:latin typeface="Cambria Math" panose="02040503050406030204" pitchFamily="18" charset="0"/>
                </a:rPr>
                <a:t>𝑋𝑒^(−𝑟𝑇) 𝑁(−𝑑_2)</a:t>
              </a:r>
              <a:endParaRPr lang="en-CA"/>
            </a:p>
          </xdr:txBody>
        </xdr:sp>
      </mc:Fallback>
    </mc:AlternateContent>
    <xdr:clientData/>
  </xdr:twoCellAnchor>
  <xdr:twoCellAnchor>
    <xdr:from>
      <xdr:col>5</xdr:col>
      <xdr:colOff>0</xdr:colOff>
      <xdr:row>7</xdr:row>
      <xdr:rowOff>0</xdr:rowOff>
    </xdr:from>
    <xdr:to>
      <xdr:col>11</xdr:col>
      <xdr:colOff>512762</xdr:colOff>
      <xdr:row>13</xdr:row>
      <xdr:rowOff>136525</xdr:rowOff>
    </xdr:to>
    <mc:AlternateContent xmlns:mc="http://schemas.openxmlformats.org/markup-compatibility/2006" xmlns:a14="http://schemas.microsoft.com/office/drawing/2010/main">
      <mc:Choice Requires="a14">
        <xdr:sp macro="" textlink="">
          <xdr:nvSpPr>
            <xdr:cNvPr id="4" name="Object 1">
              <a:extLst>
                <a:ext uri="{FF2B5EF4-FFF2-40B4-BE49-F238E27FC236}">
                  <a16:creationId xmlns:a16="http://schemas.microsoft.com/office/drawing/2014/main" id="{EB51C75D-7938-482B-B748-93FB3DA474BF}"/>
                </a:ext>
              </a:extLst>
            </xdr:cNvPr>
            <xdr:cNvSpPr txBox="1"/>
          </xdr:nvSpPr>
          <xdr:spPr bwMode="auto">
            <a:xfrm>
              <a:off x="4730750" y="1111250"/>
              <a:ext cx="4449762" cy="1089025"/>
            </a:xfrm>
            <a:prstGeom prst="rect">
              <a:avLst/>
            </a:prstGeom>
            <a:noFill/>
            <a:ln>
              <a:noFill/>
            </a:ln>
            <a:effectLst/>
          </xdr:spPr>
          <xdr:txBody>
            <a:bodyPr wrap="square">
              <a:normAutofit/>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14:m>
                <m:oMathPara xmlns:m="http://schemas.openxmlformats.org/officeDocument/2006/math">
                  <m:oMathParaPr>
                    <m:jc m:val="left"/>
                  </m:oMathParaPr>
                  <m:oMath xmlns:m="http://schemas.openxmlformats.org/officeDocument/2006/math">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1</m:t>
                        </m:r>
                      </m:sub>
                    </m:sSub>
                    <m:r>
                      <a:rPr lang="en-CA" i="1">
                        <a:solidFill>
                          <a:srgbClr val="000000"/>
                        </a:solidFill>
                        <a:latin typeface="Cambria Math" panose="02040503050406030204" pitchFamily="18" charset="0"/>
                      </a:rPr>
                      <m:t>=</m:t>
                    </m:r>
                    <m:f>
                      <m:fPr>
                        <m:ctrlPr>
                          <a:rPr lang="en-CA" i="1">
                            <a:solidFill>
                              <a:srgbClr val="000000"/>
                            </a:solidFill>
                            <a:latin typeface="Cambria Math" panose="02040503050406030204" pitchFamily="18" charset="0"/>
                          </a:rPr>
                        </m:ctrlPr>
                      </m:fPr>
                      <m:num>
                        <m:func>
                          <m:funcPr>
                            <m:ctrlPr>
                              <a:rPr lang="en-CA" i="1">
                                <a:solidFill>
                                  <a:srgbClr val="000000"/>
                                </a:solidFill>
                                <a:latin typeface="Cambria Math" panose="02040503050406030204" pitchFamily="18" charset="0"/>
                              </a:rPr>
                            </m:ctrlPr>
                          </m:funcPr>
                          <m:fName>
                            <m:r>
                              <m:rPr>
                                <m:sty m:val="p"/>
                              </m:rPr>
                              <a:rPr lang="en-CA" i="0">
                                <a:solidFill>
                                  <a:srgbClr val="000000"/>
                                </a:solidFill>
                                <a:latin typeface="Cambria Math" panose="02040503050406030204" pitchFamily="18" charset="0"/>
                              </a:rPr>
                              <m:t>ln</m:t>
                            </m:r>
                          </m:fName>
                          <m:e>
                            <m:r>
                              <a:rPr lang="en-CA" i="1">
                                <a:solidFill>
                                  <a:srgbClr val="000000"/>
                                </a:solidFill>
                                <a:latin typeface="Cambria Math" panose="02040503050406030204" pitchFamily="18" charset="0"/>
                              </a:rPr>
                              <m:t>(</m:t>
                            </m:r>
                          </m:e>
                        </m:func>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𝑆</m:t>
                            </m:r>
                          </m:e>
                          <m:sub>
                            <m:r>
                              <a:rPr lang="en-CA" i="1">
                                <a:solidFill>
                                  <a:srgbClr val="000000"/>
                                </a:solidFill>
                                <a:latin typeface="Cambria Math" panose="02040503050406030204" pitchFamily="18" charset="0"/>
                              </a:rPr>
                              <m:t>0</m:t>
                            </m:r>
                          </m:sub>
                        </m:sSub>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𝑋</m:t>
                        </m:r>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𝑟</m:t>
                        </m:r>
                        <m:r>
                          <a:rPr lang="en-US" b="0" i="1">
                            <a:solidFill>
                              <a:srgbClr val="000000"/>
                            </a:solidFill>
                            <a:latin typeface="Cambria Math" panose="02040503050406030204" pitchFamily="18" charset="0"/>
                          </a:rPr>
                          <m:t>−</m:t>
                        </m:r>
                        <m:r>
                          <a:rPr lang="en-US" b="0" i="1">
                            <a:solidFill>
                              <a:srgbClr val="000000"/>
                            </a:solidFill>
                            <a:latin typeface="Cambria Math" panose="02040503050406030204" pitchFamily="18" charset="0"/>
                          </a:rPr>
                          <m:t>𝑞</m:t>
                        </m:r>
                        <m:r>
                          <a:rPr lang="en-CA" i="1">
                            <a:solidFill>
                              <a:srgbClr val="000000"/>
                            </a:solidFill>
                            <a:latin typeface="Cambria Math" panose="02040503050406030204" pitchFamily="18" charset="0"/>
                          </a:rPr>
                          <m:t>+0.5</m:t>
                        </m:r>
                        <m:sSup>
                          <m:sSupPr>
                            <m:ctrlPr>
                              <a:rPr lang="en-CA" i="1">
                                <a:solidFill>
                                  <a:srgbClr val="000000"/>
                                </a:solidFill>
                                <a:latin typeface="Cambria Math" panose="02040503050406030204" pitchFamily="18" charset="0"/>
                              </a:rPr>
                            </m:ctrlPr>
                          </m:sSupPr>
                          <m:e>
                            <m:r>
                              <a:rPr lang="en-CA" i="1">
                                <a:solidFill>
                                  <a:srgbClr val="000000"/>
                                </a:solidFill>
                                <a:latin typeface="Cambria Math" panose="02040503050406030204" pitchFamily="18" charset="0"/>
                              </a:rPr>
                              <m:t>𝜎</m:t>
                            </m:r>
                          </m:e>
                          <m:sup>
                            <m:r>
                              <a:rPr lang="en-CA" i="1">
                                <a:solidFill>
                                  <a:srgbClr val="000000"/>
                                </a:solidFill>
                                <a:latin typeface="Cambria Math" panose="02040503050406030204" pitchFamily="18" charset="0"/>
                              </a:rPr>
                              <m:t>2</m:t>
                            </m:r>
                          </m:sup>
                        </m:sSup>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𝑇</m:t>
                        </m:r>
                      </m:num>
                      <m:den>
                        <m:r>
                          <a:rPr lang="en-CA" i="1">
                            <a:solidFill>
                              <a:srgbClr val="000000"/>
                            </a:solidFill>
                            <a:latin typeface="Cambria Math" panose="02040503050406030204" pitchFamily="18" charset="0"/>
                          </a:rPr>
                          <m:t>𝜎</m:t>
                        </m:r>
                        <m:rad>
                          <m:radPr>
                            <m:degHide m:val="on"/>
                            <m:ctrlPr>
                              <a:rPr lang="en-CA" i="1">
                                <a:solidFill>
                                  <a:srgbClr val="000000"/>
                                </a:solidFill>
                                <a:latin typeface="Cambria Math" panose="02040503050406030204" pitchFamily="18" charset="0"/>
                              </a:rPr>
                            </m:ctrlPr>
                          </m:radPr>
                          <m:deg/>
                          <m:e>
                            <m:r>
                              <a:rPr lang="en-CA" i="1">
                                <a:solidFill>
                                  <a:srgbClr val="000000"/>
                                </a:solidFill>
                                <a:latin typeface="Cambria Math" panose="02040503050406030204" pitchFamily="18" charset="0"/>
                              </a:rPr>
                              <m:t>𝑇</m:t>
                            </m:r>
                          </m:e>
                        </m:rad>
                      </m:den>
                    </m:f>
                  </m:oMath>
                </m:oMathPara>
              </a14:m>
              <a:endParaRPr lang="en-CA"/>
            </a:p>
          </xdr:txBody>
        </xdr:sp>
      </mc:Choice>
      <mc:Fallback xmlns="">
        <xdr:sp macro="" textlink="">
          <xdr:nvSpPr>
            <xdr:cNvPr id="4" name="Object 1">
              <a:extLst>
                <a:ext uri="{FF2B5EF4-FFF2-40B4-BE49-F238E27FC236}">
                  <a16:creationId xmlns:a16="http://schemas.microsoft.com/office/drawing/2014/main" id="{EB51C75D-7938-482B-B748-93FB3DA474BF}"/>
                </a:ext>
              </a:extLst>
            </xdr:cNvPr>
            <xdr:cNvSpPr txBox="1"/>
          </xdr:nvSpPr>
          <xdr:spPr bwMode="auto">
            <a:xfrm>
              <a:off x="4730750" y="1111250"/>
              <a:ext cx="4449762" cy="1089025"/>
            </a:xfrm>
            <a:prstGeom prst="rect">
              <a:avLst/>
            </a:prstGeom>
            <a:noFill/>
            <a:ln>
              <a:noFill/>
            </a:ln>
            <a:effectLst/>
          </xdr:spPr>
          <xdr:txBody>
            <a:bodyPr wrap="square">
              <a:normAutofit/>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r>
                <a:rPr lang="en-CA" i="0">
                  <a:solidFill>
                    <a:srgbClr val="000000"/>
                  </a:solidFill>
                  <a:latin typeface="Cambria Math" panose="02040503050406030204" pitchFamily="18" charset="0"/>
                </a:rPr>
                <a:t>𝑑_1=(ln⁡( 𝑆_0/𝑋)+(𝑟</a:t>
              </a:r>
              <a:r>
                <a:rPr lang="en-US" b="0" i="0">
                  <a:solidFill>
                    <a:srgbClr val="000000"/>
                  </a:solidFill>
                  <a:latin typeface="Cambria Math" panose="02040503050406030204" pitchFamily="18" charset="0"/>
                </a:rPr>
                <a:t>−𝑞</a:t>
              </a:r>
              <a:r>
                <a:rPr lang="en-CA" i="0">
                  <a:solidFill>
                    <a:srgbClr val="000000"/>
                  </a:solidFill>
                  <a:latin typeface="Cambria Math" panose="02040503050406030204" pitchFamily="18" charset="0"/>
                </a:rPr>
                <a:t>+0.5𝜎^2)𝑇)/(𝜎√𝑇)</a:t>
              </a:r>
              <a:endParaRPr lang="en-CA"/>
            </a:p>
          </xdr:txBody>
        </xdr:sp>
      </mc:Fallback>
    </mc:AlternateContent>
    <xdr:clientData/>
  </xdr:twoCellAnchor>
  <xdr:twoCellAnchor>
    <xdr:from>
      <xdr:col>5</xdr:col>
      <xdr:colOff>6350</xdr:colOff>
      <xdr:row>10</xdr:row>
      <xdr:rowOff>107950</xdr:rowOff>
    </xdr:from>
    <xdr:to>
      <xdr:col>8</xdr:col>
      <xdr:colOff>322262</xdr:colOff>
      <xdr:row>14</xdr:row>
      <xdr:rowOff>63500</xdr:rowOff>
    </xdr:to>
    <mc:AlternateContent xmlns:mc="http://schemas.openxmlformats.org/markup-compatibility/2006" xmlns:a14="http://schemas.microsoft.com/office/drawing/2010/main">
      <mc:Choice Requires="a14">
        <xdr:sp macro="" textlink="">
          <xdr:nvSpPr>
            <xdr:cNvPr id="5" name="Object 3">
              <a:extLst>
                <a:ext uri="{FF2B5EF4-FFF2-40B4-BE49-F238E27FC236}">
                  <a16:creationId xmlns:a16="http://schemas.microsoft.com/office/drawing/2014/main" id="{A6E02F14-5B23-43EE-BBB7-A82B6E5F3C3B}"/>
                </a:ext>
              </a:extLst>
            </xdr:cNvPr>
            <xdr:cNvSpPr txBox="1"/>
          </xdr:nvSpPr>
          <xdr:spPr bwMode="auto">
            <a:xfrm>
              <a:off x="4737100" y="1695450"/>
              <a:ext cx="2239962" cy="590550"/>
            </a:xfrm>
            <a:prstGeom prst="rect">
              <a:avLst/>
            </a:prstGeom>
            <a:noFill/>
            <a:ln>
              <a:noFill/>
            </a:ln>
            <a:effectLst/>
          </xdr:spPr>
          <xdr:txBody>
            <a:bodyPr wrap="square">
              <a:normAutofit/>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14:m>
                <m:oMathPara xmlns:m="http://schemas.openxmlformats.org/officeDocument/2006/math">
                  <m:oMathParaPr>
                    <m:jc m:val="left"/>
                  </m:oMathParaPr>
                  <m:oMath xmlns:m="http://schemas.openxmlformats.org/officeDocument/2006/math">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2</m:t>
                        </m:r>
                      </m:sub>
                    </m:sSub>
                    <m:r>
                      <a:rPr lang="en-CA" i="1">
                        <a:solidFill>
                          <a:srgbClr val="000000"/>
                        </a:solidFill>
                        <a:latin typeface="Cambria Math" panose="02040503050406030204" pitchFamily="18" charset="0"/>
                      </a:rPr>
                      <m:t>=</m:t>
                    </m:r>
                    <m:sSub>
                      <m:sSubPr>
                        <m:ctrlPr>
                          <a:rPr lang="en-CA" i="1">
                            <a:solidFill>
                              <a:srgbClr val="000000"/>
                            </a:solidFill>
                            <a:latin typeface="Cambria Math" panose="02040503050406030204" pitchFamily="18" charset="0"/>
                          </a:rPr>
                        </m:ctrlPr>
                      </m:sSubPr>
                      <m:e>
                        <m:r>
                          <a:rPr lang="en-CA" i="1">
                            <a:solidFill>
                              <a:srgbClr val="000000"/>
                            </a:solidFill>
                            <a:latin typeface="Cambria Math" panose="02040503050406030204" pitchFamily="18" charset="0"/>
                          </a:rPr>
                          <m:t>𝑑</m:t>
                        </m:r>
                      </m:e>
                      <m:sub>
                        <m:r>
                          <a:rPr lang="en-CA" i="1">
                            <a:solidFill>
                              <a:srgbClr val="000000"/>
                            </a:solidFill>
                            <a:latin typeface="Cambria Math" panose="02040503050406030204" pitchFamily="18" charset="0"/>
                          </a:rPr>
                          <m:t>1</m:t>
                        </m:r>
                      </m:sub>
                    </m:sSub>
                    <m:r>
                      <a:rPr lang="en-CA" i="1">
                        <a:solidFill>
                          <a:srgbClr val="000000"/>
                        </a:solidFill>
                        <a:latin typeface="Cambria Math" panose="02040503050406030204" pitchFamily="18" charset="0"/>
                      </a:rPr>
                      <m:t>−</m:t>
                    </m:r>
                    <m:r>
                      <a:rPr lang="en-CA" i="1">
                        <a:solidFill>
                          <a:srgbClr val="000000"/>
                        </a:solidFill>
                        <a:latin typeface="Cambria Math" panose="02040503050406030204" pitchFamily="18" charset="0"/>
                      </a:rPr>
                      <m:t>𝜎</m:t>
                    </m:r>
                    <m:rad>
                      <m:radPr>
                        <m:degHide m:val="on"/>
                        <m:ctrlPr>
                          <a:rPr lang="en-CA" i="1">
                            <a:solidFill>
                              <a:srgbClr val="000000"/>
                            </a:solidFill>
                            <a:latin typeface="Cambria Math" panose="02040503050406030204" pitchFamily="18" charset="0"/>
                          </a:rPr>
                        </m:ctrlPr>
                      </m:radPr>
                      <m:deg/>
                      <m:e>
                        <m:r>
                          <a:rPr lang="en-CA" i="1">
                            <a:solidFill>
                              <a:srgbClr val="000000"/>
                            </a:solidFill>
                            <a:latin typeface="Cambria Math" panose="02040503050406030204" pitchFamily="18" charset="0"/>
                          </a:rPr>
                          <m:t>𝑇</m:t>
                        </m:r>
                      </m:e>
                    </m:rad>
                  </m:oMath>
                </m:oMathPara>
              </a14:m>
              <a:endParaRPr lang="en-CA"/>
            </a:p>
          </xdr:txBody>
        </xdr:sp>
      </mc:Choice>
      <mc:Fallback xmlns="">
        <xdr:sp macro="" textlink="">
          <xdr:nvSpPr>
            <xdr:cNvPr id="5" name="Object 3">
              <a:extLst>
                <a:ext uri="{FF2B5EF4-FFF2-40B4-BE49-F238E27FC236}">
                  <a16:creationId xmlns:a16="http://schemas.microsoft.com/office/drawing/2014/main" id="{A6E02F14-5B23-43EE-BBB7-A82B6E5F3C3B}"/>
                </a:ext>
              </a:extLst>
            </xdr:cNvPr>
            <xdr:cNvSpPr txBox="1"/>
          </xdr:nvSpPr>
          <xdr:spPr bwMode="auto">
            <a:xfrm>
              <a:off x="4737100" y="1695450"/>
              <a:ext cx="2239962" cy="590550"/>
            </a:xfrm>
            <a:prstGeom prst="rect">
              <a:avLst/>
            </a:prstGeom>
            <a:noFill/>
            <a:ln>
              <a:noFill/>
            </a:ln>
            <a:effectLst/>
          </xdr:spPr>
          <xdr:txBody>
            <a:bodyPr wrap="square">
              <a:normAutofit/>
            </a:bodyPr>
            <a:lstStyle>
              <a:defPPr>
                <a:defRPr lang="fr-F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r>
                <a:rPr lang="en-CA" i="0">
                  <a:solidFill>
                    <a:srgbClr val="000000"/>
                  </a:solidFill>
                  <a:latin typeface="Cambria Math" panose="02040503050406030204" pitchFamily="18" charset="0"/>
                </a:rPr>
                <a:t>𝑑_2=𝑑_1−𝜎√𝑇</a:t>
              </a:r>
              <a:endParaRPr lang="en-CA"/>
            </a:p>
          </xdr:txBody>
        </xdr:sp>
      </mc:Fallback>
    </mc:AlternateContent>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139700</xdr:rowOff>
    </xdr:from>
    <xdr:to>
      <xdr:col>9</xdr:col>
      <xdr:colOff>355994</xdr:colOff>
      <xdr:row>23</xdr:row>
      <xdr:rowOff>133537</xdr:rowOff>
    </xdr:to>
    <xdr:pic>
      <xdr:nvPicPr>
        <xdr:cNvPr id="2" name="Picture 1">
          <a:extLst>
            <a:ext uri="{FF2B5EF4-FFF2-40B4-BE49-F238E27FC236}">
              <a16:creationId xmlns:a16="http://schemas.microsoft.com/office/drawing/2014/main" id="{C41175CE-CD9D-46DD-BA22-7D454C00FAE7}"/>
            </a:ext>
          </a:extLst>
        </xdr:cNvPr>
        <xdr:cNvPicPr>
          <a:picLocks noChangeAspect="1"/>
        </xdr:cNvPicPr>
      </xdr:nvPicPr>
      <xdr:blipFill>
        <a:blip xmlns:r="http://schemas.openxmlformats.org/officeDocument/2006/relationships" r:embed="rId1"/>
        <a:stretch>
          <a:fillRect/>
        </a:stretch>
      </xdr:blipFill>
      <xdr:spPr>
        <a:xfrm>
          <a:off x="0" y="139700"/>
          <a:ext cx="7658494" cy="3645087"/>
        </a:xfrm>
        <a:prstGeom prst="rect">
          <a:avLst/>
        </a:prstGeom>
      </xdr:spPr>
    </xdr:pic>
    <xdr:clientData/>
  </xdr:twoCellAnchor>
  <xdr:oneCellAnchor>
    <xdr:from>
      <xdr:col>11</xdr:col>
      <xdr:colOff>200025</xdr:colOff>
      <xdr:row>13</xdr:row>
      <xdr:rowOff>107950</xdr:rowOff>
    </xdr:from>
    <xdr:ext cx="753796" cy="1754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8C4768B-34B3-4659-97B2-14942EA838FC}"/>
                </a:ext>
              </a:extLst>
            </xdr:cNvPr>
            <xdr:cNvSpPr txBox="1"/>
          </xdr:nvSpPr>
          <xdr:spPr>
            <a:xfrm>
              <a:off x="8785225" y="2171700"/>
              <a:ext cx="753796" cy="175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CA" sz="1100" i="1">
                            <a:latin typeface="Cambria Math" panose="02040503050406030204" pitchFamily="18" charset="0"/>
                          </a:rPr>
                        </m:ctrlPr>
                      </m:sSubPr>
                      <m:e>
                        <m:sSub>
                          <m:sSubPr>
                            <m:ctrlPr>
                              <a:rPr lang="en-CA" sz="110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0</m:t>
                            </m:r>
                          </m:sub>
                        </m:sSub>
                        <m:r>
                          <a:rPr lang="en-US" sz="1100" b="0" i="1">
                            <a:latin typeface="Cambria Math" panose="02040503050406030204" pitchFamily="18" charset="0"/>
                          </a:rPr>
                          <m:t>−</m:t>
                        </m:r>
                        <m:r>
                          <a:rPr lang="en-US" sz="1100" b="0" i="1">
                            <a:latin typeface="Cambria Math" panose="02040503050406030204" pitchFamily="18" charset="0"/>
                          </a:rPr>
                          <m:t>𝑆</m:t>
                        </m:r>
                      </m:e>
                      <m:sub>
                        <m:r>
                          <a:rPr lang="en-US" sz="1100" b="0" i="1">
                            <a:latin typeface="Cambria Math" panose="02040503050406030204" pitchFamily="18" charset="0"/>
                          </a:rPr>
                          <m:t>0</m:t>
                        </m:r>
                      </m:sub>
                    </m:sSub>
                    <m:sSup>
                      <m:sSupPr>
                        <m:ctrlPr>
                          <a:rPr lang="en-CA" sz="1100" i="1">
                            <a:latin typeface="Cambria Math" panose="02040503050406030204" pitchFamily="18" charset="0"/>
                          </a:rPr>
                        </m:ctrlPr>
                      </m:sSupPr>
                      <m:e>
                        <m:r>
                          <a:rPr lang="en-US" sz="1100" b="0" i="1">
                            <a:latin typeface="Cambria Math" panose="02040503050406030204" pitchFamily="18" charset="0"/>
                          </a:rPr>
                          <m:t>𝑒</m:t>
                        </m:r>
                      </m:e>
                      <m:sup>
                        <m:r>
                          <a:rPr lang="en-US" sz="1100" b="0" i="1">
                            <a:latin typeface="Cambria Math" panose="02040503050406030204" pitchFamily="18" charset="0"/>
                          </a:rPr>
                          <m:t>−</m:t>
                        </m:r>
                        <m:r>
                          <a:rPr lang="en-US" sz="1100" b="0" i="1">
                            <a:latin typeface="Cambria Math" panose="02040503050406030204" pitchFamily="18" charset="0"/>
                          </a:rPr>
                          <m:t>𝑞𝑇</m:t>
                        </m:r>
                      </m:sup>
                    </m:sSup>
                  </m:oMath>
                </m:oMathPara>
              </a14:m>
              <a:endParaRPr lang="en-CA" sz="1100"/>
            </a:p>
          </xdr:txBody>
        </xdr:sp>
      </mc:Choice>
      <mc:Fallback xmlns="">
        <xdr:sp macro="" textlink="">
          <xdr:nvSpPr>
            <xdr:cNvPr id="3" name="TextBox 2">
              <a:extLst>
                <a:ext uri="{FF2B5EF4-FFF2-40B4-BE49-F238E27FC236}">
                  <a16:creationId xmlns:a16="http://schemas.microsoft.com/office/drawing/2014/main" id="{38C4768B-34B3-4659-97B2-14942EA838FC}"/>
                </a:ext>
              </a:extLst>
            </xdr:cNvPr>
            <xdr:cNvSpPr txBox="1"/>
          </xdr:nvSpPr>
          <xdr:spPr>
            <a:xfrm>
              <a:off x="8785225" y="2171700"/>
              <a:ext cx="753796" cy="175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CA" sz="1100" i="0">
                  <a:latin typeface="Cambria Math" panose="02040503050406030204" pitchFamily="18" charset="0"/>
                </a:rPr>
                <a:t>〖</a:t>
              </a:r>
              <a:r>
                <a:rPr lang="en-US" sz="1100" b="0" i="0">
                  <a:latin typeface="Cambria Math" panose="02040503050406030204" pitchFamily="18" charset="0"/>
                </a:rPr>
                <a:t>𝑆</a:t>
              </a:r>
              <a:r>
                <a:rPr lang="en-CA" sz="1100" b="0" i="0">
                  <a:latin typeface="Cambria Math" panose="02040503050406030204" pitchFamily="18" charset="0"/>
                </a:rPr>
                <a:t>_</a:t>
              </a:r>
              <a:r>
                <a:rPr lang="en-US" sz="1100" b="0" i="0">
                  <a:latin typeface="Cambria Math" panose="02040503050406030204" pitchFamily="18" charset="0"/>
                </a:rPr>
                <a:t>0−𝑆</a:t>
              </a:r>
              <a:r>
                <a:rPr lang="en-CA" sz="1100" b="0" i="0">
                  <a:latin typeface="Cambria Math" panose="02040503050406030204" pitchFamily="18" charset="0"/>
                </a:rPr>
                <a:t>〗_</a:t>
              </a:r>
              <a:r>
                <a:rPr lang="en-US" sz="1100" b="0" i="0">
                  <a:latin typeface="Cambria Math" panose="02040503050406030204" pitchFamily="18" charset="0"/>
                </a:rPr>
                <a:t>0</a:t>
              </a:r>
              <a:r>
                <a:rPr lang="en-CA" sz="1100" b="0" i="0">
                  <a:latin typeface="Cambria Math" panose="02040503050406030204" pitchFamily="18" charset="0"/>
                </a:rPr>
                <a:t> </a:t>
              </a:r>
              <a:r>
                <a:rPr lang="en-US" sz="1100" b="0" i="0">
                  <a:latin typeface="Cambria Math" panose="02040503050406030204" pitchFamily="18" charset="0"/>
                </a:rPr>
                <a:t>𝑒</a:t>
              </a:r>
              <a:r>
                <a:rPr lang="en-CA" sz="1100" b="0" i="0">
                  <a:latin typeface="Cambria Math" panose="02040503050406030204" pitchFamily="18" charset="0"/>
                </a:rPr>
                <a:t>^(</a:t>
              </a:r>
              <a:r>
                <a:rPr lang="en-US" sz="1100" b="0" i="0">
                  <a:latin typeface="Cambria Math" panose="02040503050406030204" pitchFamily="18" charset="0"/>
                </a:rPr>
                <a:t>−𝑞𝑇</a:t>
              </a:r>
              <a:r>
                <a:rPr lang="en-CA" sz="1100" b="0" i="0">
                  <a:latin typeface="Cambria Math" panose="02040503050406030204" pitchFamily="18" charset="0"/>
                </a:rPr>
                <a:t>)</a:t>
              </a:r>
              <a:endParaRPr lang="en-CA" sz="1100"/>
            </a:p>
          </xdr:txBody>
        </xdr:sp>
      </mc:Fallback>
    </mc:AlternateContent>
    <xdr:clientData/>
  </xdr:oneCellAnchor>
  <xdr:oneCellAnchor>
    <xdr:from>
      <xdr:col>10</xdr:col>
      <xdr:colOff>523875</xdr:colOff>
      <xdr:row>23</xdr:row>
      <xdr:rowOff>0</xdr:rowOff>
    </xdr:from>
    <xdr:ext cx="1016432" cy="17543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D115449-44CC-4B27-8EAE-1E16C1C5BAD4}"/>
                </a:ext>
              </a:extLst>
            </xdr:cNvPr>
            <xdr:cNvSpPr txBox="1"/>
          </xdr:nvSpPr>
          <xdr:spPr>
            <a:xfrm>
              <a:off x="8467725" y="3651250"/>
              <a:ext cx="1016432" cy="175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𝐷</m:t>
                    </m:r>
                    <m:sSup>
                      <m:sSupPr>
                        <m:ctrlPr>
                          <a:rPr lang="en-US" sz="1100" b="0" i="1">
                            <a:latin typeface="Cambria Math" panose="02040503050406030204" pitchFamily="18" charset="0"/>
                          </a:rPr>
                        </m:ctrlPr>
                      </m:sSupPr>
                      <m:e>
                        <m:r>
                          <a:rPr lang="en-US" sz="1100" b="0" i="1">
                            <a:latin typeface="Cambria Math" panose="02040503050406030204" pitchFamily="18" charset="0"/>
                          </a:rPr>
                          <m:t>𝑒</m:t>
                        </m:r>
                      </m:e>
                      <m:sup>
                        <m:r>
                          <a:rPr lang="en-US" sz="1100" b="0" i="1">
                            <a:latin typeface="Cambria Math" panose="02040503050406030204" pitchFamily="18" charset="0"/>
                          </a:rPr>
                          <m:t>−</m:t>
                        </m:r>
                        <m:r>
                          <a:rPr lang="en-US" sz="1100" b="0" i="1">
                            <a:latin typeface="Cambria Math" panose="02040503050406030204" pitchFamily="18" charset="0"/>
                          </a:rPr>
                          <m:t>𝑟𝑇</m:t>
                        </m:r>
                      </m:sup>
                    </m:sSup>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0</m:t>
                        </m:r>
                      </m:sub>
                    </m:sSub>
                    <m:sSup>
                      <m:sSupPr>
                        <m:ctrlPr>
                          <a:rPr lang="en-US" sz="1100" b="0" i="1">
                            <a:latin typeface="Cambria Math" panose="02040503050406030204" pitchFamily="18" charset="0"/>
                          </a:rPr>
                        </m:ctrlPr>
                      </m:sSupPr>
                      <m:e>
                        <m:r>
                          <a:rPr lang="en-US" sz="1100" b="0" i="1">
                            <a:latin typeface="Cambria Math" panose="02040503050406030204" pitchFamily="18" charset="0"/>
                          </a:rPr>
                          <m:t>𝑒</m:t>
                        </m:r>
                      </m:e>
                      <m:sup>
                        <m:r>
                          <a:rPr lang="en-US" sz="1100" b="0" i="1">
                            <a:latin typeface="Cambria Math" panose="02040503050406030204" pitchFamily="18" charset="0"/>
                          </a:rPr>
                          <m:t>−</m:t>
                        </m:r>
                        <m:r>
                          <a:rPr lang="en-US" sz="1100" b="0" i="1">
                            <a:latin typeface="Cambria Math" panose="02040503050406030204" pitchFamily="18" charset="0"/>
                          </a:rPr>
                          <m:t>𝑞𝑇</m:t>
                        </m:r>
                      </m:sup>
                    </m:sSup>
                  </m:oMath>
                </m:oMathPara>
              </a14:m>
              <a:endParaRPr lang="en-CA" sz="1100"/>
            </a:p>
          </xdr:txBody>
        </xdr:sp>
      </mc:Choice>
      <mc:Fallback xmlns="">
        <xdr:sp macro="" textlink="">
          <xdr:nvSpPr>
            <xdr:cNvPr id="4" name="TextBox 3">
              <a:extLst>
                <a:ext uri="{FF2B5EF4-FFF2-40B4-BE49-F238E27FC236}">
                  <a16:creationId xmlns:a16="http://schemas.microsoft.com/office/drawing/2014/main" id="{DD115449-44CC-4B27-8EAE-1E16C1C5BAD4}"/>
                </a:ext>
              </a:extLst>
            </xdr:cNvPr>
            <xdr:cNvSpPr txBox="1"/>
          </xdr:nvSpPr>
          <xdr:spPr>
            <a:xfrm>
              <a:off x="8467725" y="3651250"/>
              <a:ext cx="1016432" cy="175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𝐷𝑒^(−𝑟𝑇)=𝑆_0 𝑒^(−𝑞𝑇)</a:t>
              </a:r>
              <a:endParaRPr lang="en-CA" sz="1100"/>
            </a:p>
          </xdr:txBody>
        </xdr:sp>
      </mc:Fallback>
    </mc:AlternateContent>
    <xdr:clientData/>
  </xdr:oneCellAnchor>
</xdr:wsDr>
</file>

<file path=xl/drawings/drawing46.xml><?xml version="1.0" encoding="utf-8"?>
<xdr:wsDr xmlns:xdr="http://schemas.openxmlformats.org/drawingml/2006/spreadsheetDrawing" xmlns:a="http://schemas.openxmlformats.org/drawingml/2006/main">
  <xdr:twoCellAnchor editAs="oneCell">
    <xdr:from>
      <xdr:col>0</xdr:col>
      <xdr:colOff>584200</xdr:colOff>
      <xdr:row>0</xdr:row>
      <xdr:rowOff>44450</xdr:rowOff>
    </xdr:from>
    <xdr:to>
      <xdr:col>5</xdr:col>
      <xdr:colOff>520700</xdr:colOff>
      <xdr:row>13</xdr:row>
      <xdr:rowOff>31750</xdr:rowOff>
    </xdr:to>
    <xdr:pic>
      <xdr:nvPicPr>
        <xdr:cNvPr id="2" name="Picture 1">
          <a:extLst>
            <a:ext uri="{FF2B5EF4-FFF2-40B4-BE49-F238E27FC236}">
              <a16:creationId xmlns:a16="http://schemas.microsoft.com/office/drawing/2014/main" id="{45E0A01C-6919-4BB0-B89A-24E4BFB736C7}"/>
            </a:ext>
          </a:extLst>
        </xdr:cNvPr>
        <xdr:cNvPicPr>
          <a:picLocks noChangeAspect="1"/>
        </xdr:cNvPicPr>
      </xdr:nvPicPr>
      <xdr:blipFill>
        <a:blip xmlns:r="http://schemas.openxmlformats.org/officeDocument/2006/relationships" r:embed="rId1"/>
        <a:stretch>
          <a:fillRect/>
        </a:stretch>
      </xdr:blipFill>
      <xdr:spPr>
        <a:xfrm>
          <a:off x="584200" y="44450"/>
          <a:ext cx="3454400" cy="2051050"/>
        </a:xfrm>
        <a:prstGeom prst="rect">
          <a:avLst/>
        </a:prstGeom>
      </xdr:spPr>
    </xdr:pic>
    <xdr:clientData/>
  </xdr:twoCellAnchor>
  <xdr:twoCellAnchor editAs="oneCell">
    <xdr:from>
      <xdr:col>0</xdr:col>
      <xdr:colOff>692150</xdr:colOff>
      <xdr:row>14</xdr:row>
      <xdr:rowOff>82550</xdr:rowOff>
    </xdr:from>
    <xdr:to>
      <xdr:col>5</xdr:col>
      <xdr:colOff>241300</xdr:colOff>
      <xdr:row>23</xdr:row>
      <xdr:rowOff>149225</xdr:rowOff>
    </xdr:to>
    <xdr:pic>
      <xdr:nvPicPr>
        <xdr:cNvPr id="3" name="Picture 2">
          <a:extLst>
            <a:ext uri="{FF2B5EF4-FFF2-40B4-BE49-F238E27FC236}">
              <a16:creationId xmlns:a16="http://schemas.microsoft.com/office/drawing/2014/main" id="{3BB818A2-5667-4235-9ABF-B6B6ECC4070B}"/>
            </a:ext>
          </a:extLst>
        </xdr:cNvPr>
        <xdr:cNvPicPr>
          <a:picLocks noChangeAspect="1"/>
        </xdr:cNvPicPr>
      </xdr:nvPicPr>
      <xdr:blipFill>
        <a:blip xmlns:r="http://schemas.openxmlformats.org/officeDocument/2006/relationships" r:embed="rId2"/>
        <a:stretch>
          <a:fillRect/>
        </a:stretch>
      </xdr:blipFill>
      <xdr:spPr>
        <a:xfrm>
          <a:off x="692150" y="2305050"/>
          <a:ext cx="3067050" cy="14954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21</xdr:col>
      <xdr:colOff>202046</xdr:colOff>
      <xdr:row>16</xdr:row>
      <xdr:rowOff>40410</xdr:rowOff>
    </xdr:to>
    <xdr:graphicFrame macro="">
      <xdr:nvGraphicFramePr>
        <xdr:cNvPr id="2" name="Chart 1">
          <a:extLst>
            <a:ext uri="{FF2B5EF4-FFF2-40B4-BE49-F238E27FC236}">
              <a16:creationId xmlns:a16="http://schemas.microsoft.com/office/drawing/2014/main" id="{AEDF760C-D667-4AA8-A70A-05FD24629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202045</xdr:colOff>
      <xdr:row>1</xdr:row>
      <xdr:rowOff>23091</xdr:rowOff>
    </xdr:from>
    <xdr:to>
      <xdr:col>28</xdr:col>
      <xdr:colOff>51956</xdr:colOff>
      <xdr:row>16</xdr:row>
      <xdr:rowOff>40410</xdr:rowOff>
    </xdr:to>
    <xdr:graphicFrame macro="">
      <xdr:nvGraphicFramePr>
        <xdr:cNvPr id="3" name="Chart 2">
          <a:extLst>
            <a:ext uri="{FF2B5EF4-FFF2-40B4-BE49-F238E27FC236}">
              <a16:creationId xmlns:a16="http://schemas.microsoft.com/office/drawing/2014/main" id="{6AC99DF9-E949-49A6-B647-61E63FE4E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14</xdr:col>
      <xdr:colOff>119497</xdr:colOff>
      <xdr:row>0</xdr:row>
      <xdr:rowOff>309705</xdr:rowOff>
    </xdr:from>
    <xdr:to>
      <xdr:col>19</xdr:col>
      <xdr:colOff>444501</xdr:colOff>
      <xdr:row>16</xdr:row>
      <xdr:rowOff>23091</xdr:rowOff>
    </xdr:to>
    <xdr:graphicFrame macro="">
      <xdr:nvGraphicFramePr>
        <xdr:cNvPr id="2" name="Chart 1">
          <a:extLst>
            <a:ext uri="{FF2B5EF4-FFF2-40B4-BE49-F238E27FC236}">
              <a16:creationId xmlns:a16="http://schemas.microsoft.com/office/drawing/2014/main" id="{008C32D1-052D-4408-8360-D21C125C0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432953</xdr:colOff>
      <xdr:row>0</xdr:row>
      <xdr:rowOff>311727</xdr:rowOff>
    </xdr:from>
    <xdr:to>
      <xdr:col>25</xdr:col>
      <xdr:colOff>138546</xdr:colOff>
      <xdr:row>16</xdr:row>
      <xdr:rowOff>11546</xdr:rowOff>
    </xdr:to>
    <xdr:graphicFrame macro="">
      <xdr:nvGraphicFramePr>
        <xdr:cNvPr id="3" name="Chart 2">
          <a:extLst>
            <a:ext uri="{FF2B5EF4-FFF2-40B4-BE49-F238E27FC236}">
              <a16:creationId xmlns:a16="http://schemas.microsoft.com/office/drawing/2014/main" id="{D9790D17-3701-4BF8-B580-D2E066CAE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21</xdr:col>
      <xdr:colOff>202046</xdr:colOff>
      <xdr:row>16</xdr:row>
      <xdr:rowOff>40410</xdr:rowOff>
    </xdr:to>
    <xdr:graphicFrame macro="">
      <xdr:nvGraphicFramePr>
        <xdr:cNvPr id="2" name="Chart 1">
          <a:extLst>
            <a:ext uri="{FF2B5EF4-FFF2-40B4-BE49-F238E27FC236}">
              <a16:creationId xmlns:a16="http://schemas.microsoft.com/office/drawing/2014/main" id="{C22D1502-7401-4247-9711-C9EFAD301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202045</xdr:colOff>
      <xdr:row>1</xdr:row>
      <xdr:rowOff>23091</xdr:rowOff>
    </xdr:from>
    <xdr:to>
      <xdr:col>28</xdr:col>
      <xdr:colOff>51956</xdr:colOff>
      <xdr:row>16</xdr:row>
      <xdr:rowOff>40410</xdr:rowOff>
    </xdr:to>
    <xdr:graphicFrame macro="">
      <xdr:nvGraphicFramePr>
        <xdr:cNvPr id="3" name="Chart 2">
          <a:extLst>
            <a:ext uri="{FF2B5EF4-FFF2-40B4-BE49-F238E27FC236}">
              <a16:creationId xmlns:a16="http://schemas.microsoft.com/office/drawing/2014/main" id="{4716012C-2F33-42B0-B7F7-6D8D80473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14</xdr:col>
      <xdr:colOff>361950</xdr:colOff>
      <xdr:row>1</xdr:row>
      <xdr:rowOff>9524</xdr:rowOff>
    </xdr:from>
    <xdr:to>
      <xdr:col>22</xdr:col>
      <xdr:colOff>57150</xdr:colOff>
      <xdr:row>21</xdr:row>
      <xdr:rowOff>152399</xdr:rowOff>
    </xdr:to>
    <xdr:graphicFrame macro="">
      <xdr:nvGraphicFramePr>
        <xdr:cNvPr id="2" name="Chart 1">
          <a:extLst>
            <a:ext uri="{FF2B5EF4-FFF2-40B4-BE49-F238E27FC236}">
              <a16:creationId xmlns:a16="http://schemas.microsoft.com/office/drawing/2014/main" id="{C67F5DE4-3103-4230-962E-F5E11AF3C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20</xdr:col>
      <xdr:colOff>548986</xdr:colOff>
      <xdr:row>0</xdr:row>
      <xdr:rowOff>134216</xdr:rowOff>
    </xdr:from>
    <xdr:to>
      <xdr:col>28</xdr:col>
      <xdr:colOff>244185</xdr:colOff>
      <xdr:row>21</xdr:row>
      <xdr:rowOff>110836</xdr:rowOff>
    </xdr:to>
    <xdr:graphicFrame macro="">
      <xdr:nvGraphicFramePr>
        <xdr:cNvPr id="2" name="Chart 1">
          <a:extLst>
            <a:ext uri="{FF2B5EF4-FFF2-40B4-BE49-F238E27FC236}">
              <a16:creationId xmlns:a16="http://schemas.microsoft.com/office/drawing/2014/main" id="{BBC6D148-97DE-45CD-876C-51DF2E6E7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521804</xdr:colOff>
      <xdr:row>16</xdr:row>
      <xdr:rowOff>74543</xdr:rowOff>
    </xdr:from>
    <xdr:to>
      <xdr:col>18</xdr:col>
      <xdr:colOff>41413</xdr:colOff>
      <xdr:row>25</xdr:row>
      <xdr:rowOff>49696</xdr:rowOff>
    </xdr:to>
    <xdr:sp macro="" textlink="">
      <xdr:nvSpPr>
        <xdr:cNvPr id="3" name="ZoneTexte 2">
          <a:extLst>
            <a:ext uri="{FF2B5EF4-FFF2-40B4-BE49-F238E27FC236}">
              <a16:creationId xmlns:a16="http://schemas.microsoft.com/office/drawing/2014/main" id="{F9939D0F-89E0-419E-B158-806EF2E27048}"/>
            </a:ext>
          </a:extLst>
        </xdr:cNvPr>
        <xdr:cNvSpPr txBox="1"/>
      </xdr:nvSpPr>
      <xdr:spPr>
        <a:xfrm>
          <a:off x="9856304" y="2756783"/>
          <a:ext cx="3314369" cy="1483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The conditional premium </a:t>
          </a:r>
          <a:r>
            <a:rPr lang="fr-FR" sz="1100">
              <a:solidFill>
                <a:schemeClr val="dk1"/>
              </a:solidFill>
              <a:effectLst/>
              <a:latin typeface="+mn-lt"/>
              <a:ea typeface="+mn-ea"/>
              <a:cs typeface="+mn-cs"/>
            </a:rPr>
            <a:t>Z</a:t>
          </a:r>
          <a:r>
            <a:rPr lang="fr-FR"/>
            <a:t> was determined by setting the net upfront cost of the strategy to zero, such that the present value of </a:t>
          </a:r>
          <a:r>
            <a:rPr lang="fr-FR" sz="1100">
              <a:solidFill>
                <a:schemeClr val="dk1"/>
              </a:solidFill>
              <a:effectLst/>
              <a:latin typeface="+mn-lt"/>
              <a:ea typeface="+mn-ea"/>
              <a:cs typeface="+mn-cs"/>
            </a:rPr>
            <a:t>Z</a:t>
          </a:r>
          <a:r>
            <a:rPr lang="fr-FR"/>
            <a:t> (paid only if </a:t>
          </a:r>
          <a:r>
            <a:rPr lang="fr-FR" sz="1100">
              <a:solidFill>
                <a:schemeClr val="dk1"/>
              </a:solidFill>
              <a:effectLst/>
              <a:latin typeface="+mn-lt"/>
              <a:ea typeface="+mn-ea"/>
              <a:cs typeface="+mn-cs"/>
            </a:rPr>
            <a:t>S</a:t>
          </a:r>
          <a:r>
            <a:rPr lang="fr-FR" sz="1100" baseline="-25000">
              <a:solidFill>
                <a:schemeClr val="dk1"/>
              </a:solidFill>
              <a:effectLst/>
              <a:latin typeface="+mn-lt"/>
              <a:ea typeface="+mn-ea"/>
              <a:cs typeface="+mn-cs"/>
            </a:rPr>
            <a:t>T </a:t>
          </a:r>
          <a:r>
            <a:rPr lang="fr-FR"/>
            <a:t>is within the </a:t>
          </a:r>
          <a:r>
            <a:rPr lang="fr-FR" sz="1100">
              <a:solidFill>
                <a:schemeClr val="dk1"/>
              </a:solidFill>
              <a:effectLst/>
              <a:latin typeface="+mn-lt"/>
              <a:ea typeface="+mn-ea"/>
              <a:cs typeface="+mn-cs"/>
            </a:rPr>
            <a:t>[80, 120]</a:t>
          </a:r>
          <a:r>
            <a:rPr lang="fr-FR"/>
            <a:t> interval) equals the initial portfolio value of </a:t>
          </a:r>
          <a:r>
            <a:rPr lang="fr-FR" sz="1100">
              <a:solidFill>
                <a:schemeClr val="dk1"/>
              </a:solidFill>
              <a:effectLst/>
              <a:latin typeface="+mn-lt"/>
              <a:ea typeface="+mn-ea"/>
              <a:cs typeface="+mn-cs"/>
            </a:rPr>
            <a:t>4.61$</a:t>
          </a:r>
          <a:r>
            <a:rPr lang="fr-FR"/>
            <a:t>. Mathematically, this was calculated as </a:t>
          </a:r>
          <a:r>
            <a:rPr lang="fr-FR" sz="1100">
              <a:solidFill>
                <a:schemeClr val="dk1"/>
              </a:solidFill>
              <a:effectLst/>
              <a:latin typeface="+mn-lt"/>
              <a:ea typeface="+mn-ea"/>
              <a:cs typeface="+mn-cs"/>
            </a:rPr>
            <a:t>Z = V_0 / [e^{-rT} \cdot (N(d_{2,80}) - N(d_{2,120}))]</a:t>
          </a:r>
          <a:r>
            <a:rPr lang="fr-FR"/>
            <a:t> using the Black-Scholes cumulative probabilities for the given strikes</a:t>
          </a:r>
          <a:endParaRPr lang="fr-FR"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kravi/Desktop/Working%20Folder/UTD/Fall%202025/Fin4340/Part%202/Lecture%202_08Sep25_Full.xlsx" TargetMode="External"/><Relationship Id="rId2" Type="http://schemas.openxmlformats.org/officeDocument/2006/relationships/externalLinkPath" Target="file:///C:\Users\kravi\Desktop\Working%20Folder\UTD\Fall%202025\Fin4340\Part%202\Lecture%202_08Sep25_Full.xlsx" TargetMode="External"/><Relationship Id="rId1" Type="http://schemas.openxmlformats.org/officeDocument/2006/relationships/externalLinkPath" Target="/Users/kravi/Desktop/Working%20Folder/UTD/Fall%202025/Fin4340/Part%202/Lecture%202_08Sep25_Fu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lide 9"/>
      <sheetName val="Slide 10"/>
      <sheetName val="Slide 10R "/>
      <sheetName val="Slide 11"/>
      <sheetName val="Slide 13"/>
      <sheetName val="Slide 13_General"/>
      <sheetName val="Slide 20a"/>
      <sheetName val="Slide 20b"/>
      <sheetName val="Slide 20c"/>
      <sheetName val="Slide 20c_R1"/>
      <sheetName val="Slide 20c_R2"/>
      <sheetName val="Slide 21_R"/>
      <sheetName val="Slide 22_R"/>
      <sheetName val="Slide 23_R"/>
      <sheetName val="Slide 25a - regular"/>
      <sheetName val="Slide 25b - zero"/>
      <sheetName val="Slide 25c - comparison"/>
      <sheetName val="Slide 26a"/>
      <sheetName val="Slide 26b"/>
      <sheetName val="Slide 27"/>
      <sheetName val="Slide 37a"/>
      <sheetName val="Slide 37b"/>
      <sheetName val="Slide 42"/>
      <sheetName val="Slide 43_R"/>
      <sheetName val="Slide 46 (3 instruments)"/>
      <sheetName val="Slide 46 (4 instruments)"/>
      <sheetName val="Slide 46 (all instruments)"/>
      <sheetName val="Slide 49_R"/>
      <sheetName val="Slide 50_1"/>
      <sheetName val="Slide 50_2"/>
      <sheetName val="Slide 50_3"/>
      <sheetName val="Slide 51"/>
      <sheetName val="Slide 51_R"/>
    </sheetNames>
    <sheetDataSet>
      <sheetData sheetId="0"/>
      <sheetData sheetId="1"/>
      <sheetData sheetId="2"/>
      <sheetData sheetId="3"/>
      <sheetData sheetId="4"/>
      <sheetData sheetId="5"/>
      <sheetData sheetId="6">
        <row r="1">
          <cell r="J1">
            <v>0.1</v>
          </cell>
        </row>
        <row r="2">
          <cell r="B2">
            <v>45601</v>
          </cell>
        </row>
        <row r="4">
          <cell r="B4">
            <v>45782</v>
          </cell>
        </row>
      </sheetData>
      <sheetData sheetId="7">
        <row r="1">
          <cell r="J1">
            <v>0.1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
          <cell r="B2">
            <v>97.5</v>
          </cell>
        </row>
        <row r="3">
          <cell r="B3">
            <v>93</v>
          </cell>
        </row>
        <row r="4">
          <cell r="B4">
            <v>89</v>
          </cell>
        </row>
        <row r="14">
          <cell r="A14">
            <v>45682</v>
          </cell>
        </row>
        <row r="15">
          <cell r="A15">
            <v>45886</v>
          </cell>
        </row>
        <row r="16">
          <cell r="A16">
            <v>45986</v>
          </cell>
        </row>
        <row r="17">
          <cell r="A17">
            <v>46126</v>
          </cell>
        </row>
      </sheetData>
      <sheetData sheetId="25">
        <row r="2">
          <cell r="B2">
            <v>97.5</v>
          </cell>
        </row>
        <row r="3">
          <cell r="B3">
            <v>93</v>
          </cell>
        </row>
        <row r="4">
          <cell r="B4">
            <v>89</v>
          </cell>
        </row>
        <row r="5">
          <cell r="B5">
            <v>96</v>
          </cell>
        </row>
        <row r="6">
          <cell r="B6">
            <v>101.6</v>
          </cell>
        </row>
        <row r="14">
          <cell r="A14">
            <v>45682</v>
          </cell>
          <cell r="B14">
            <v>0</v>
          </cell>
        </row>
      </sheetData>
      <sheetData sheetId="26"/>
      <sheetData sheetId="27"/>
      <sheetData sheetId="28"/>
      <sheetData sheetId="29"/>
      <sheetData sheetId="30"/>
      <sheetData sheetId="31"/>
      <sheetData sheetId="3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1:58.660"/>
    </inkml:context>
    <inkml:brush xml:id="br0">
      <inkml:brushProperty name="width" value="0.05" units="cm"/>
      <inkml:brushProperty name="height" value="0.05" units="cm"/>
    </inkml:brush>
  </inkml:definitions>
  <inkml:trace contextRef="#ctx0" brushRef="#br0">62 100 120,'0'0'1024,"-29"-79"-968,18 68-56,2 4 0,1 4-128,3 3-344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2:46.996"/>
    </inkml:context>
    <inkml:brush xml:id="br0">
      <inkml:brushProperty name="width" value="0.05" units="cm"/>
      <inkml:brushProperty name="height" value="0.05" units="cm"/>
    </inkml:brush>
  </inkml:definitions>
  <inkml:trace contextRef="#ctx0" brushRef="#br0">7 3 80,'0'0'976,"-7"-3"-976,7 13-984,8 3 928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2:46.997"/>
    </inkml:context>
    <inkml:brush xml:id="br0">
      <inkml:brushProperty name="width" value="0.05" units="cm"/>
      <inkml:brushProperty name="height" value="0.05" units="cm"/>
    </inkml:brush>
  </inkml:definitions>
  <inkml:trace contextRef="#ctx0" brushRef="#br0">0 1 80,'0'0'384</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2:46.998"/>
    </inkml:context>
    <inkml:brush xml:id="br0">
      <inkml:brushProperty name="width" value="0.05" units="cm"/>
      <inkml:brushProperty name="height" value="0.05" units="cm"/>
    </inkml:brush>
  </inkml:definitions>
  <inkml:trace contextRef="#ctx0" brushRef="#br0">56 42 80,'0'0'1248,"-7"-6"-945,-32-28-12,36 33-269,-3 0-1945,6 5 1902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2:46.999"/>
    </inkml:context>
    <inkml:brush xml:id="br0">
      <inkml:brushProperty name="width" value="0.05" units="cm"/>
      <inkml:brushProperty name="height" value="0.05" units="cm"/>
    </inkml:brush>
  </inkml:definitions>
  <inkml:trace contextRef="#ctx0" brushRef="#br0">18 20 16,'0'0'2098,"-1"-2"-1851,1 2-234,-1-1 14,1 0-1,-1-1 1,1 1 0,-1 0 0,1 0-1,-1 0 1,0 1 0,1-1 0,-1 0-1,0 0 1,0 0 0,1 0 0,-1 1-1,0-1 1,0 0 0,0 1-1,0-1 1,-2 0 0,2 1-7,1 12-2882</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2:47"/>
    </inkml:context>
    <inkml:brush xml:id="br0">
      <inkml:brushProperty name="width" value="0.05" units="cm"/>
      <inkml:brushProperty name="height" value="0.05" units="cm"/>
    </inkml:brush>
  </inkml:definitions>
  <inkml:trace contextRef="#ctx0" brushRef="#br0">25 13 72,'0'0'599,"-4"-2"-591,-12-5-6,12 4 380,7 2-1102,13 1 377</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2:47.001"/>
    </inkml:context>
    <inkml:brush xml:id="br0">
      <inkml:brushProperty name="width" value="0.05" units="cm"/>
      <inkml:brushProperty name="height" value="0.05" units="cm"/>
    </inkml:brush>
  </inkml:definitions>
  <inkml:trace contextRef="#ctx0" brushRef="#br0">72 40 16,'0'0'317,"-3"0"-259,-39-19 631,40 18-576,0 1-1,1-1 0,-1 0 0,1 0 1,-1 1-1,1-1 0,0 0 1,-1 0-1,1-1 0,-3-1 1,-4-5 242,8 8-481,10 1-1357,4 2 861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9T01:03:24.606"/>
    </inkml:context>
    <inkml:brush xml:id="br0">
      <inkml:brushProperty name="width" value="0.05" units="cm"/>
      <inkml:brushProperty name="height" value="0.05" units="cm"/>
    </inkml:brush>
  </inkml:definitions>
  <inkml:trace contextRef="#ctx0" brushRef="#br0">0 0 192,'0'0'424,"2"0"-1040,4 0 616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8.xml"/><Relationship Id="rId1" Type="http://schemas.openxmlformats.org/officeDocument/2006/relationships/printerSettings" Target="../printerSettings/printerSettings21.bin"/><Relationship Id="rId4" Type="http://schemas.openxmlformats.org/officeDocument/2006/relationships/comments" Target="../comments1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9.xml"/><Relationship Id="rId1" Type="http://schemas.openxmlformats.org/officeDocument/2006/relationships/printerSettings" Target="../printerSettings/printerSettings22.bin"/><Relationship Id="rId4" Type="http://schemas.openxmlformats.org/officeDocument/2006/relationships/comments" Target="../comments15.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0.xml"/><Relationship Id="rId1" Type="http://schemas.openxmlformats.org/officeDocument/2006/relationships/printerSettings" Target="../printerSettings/printerSettings23.bin"/><Relationship Id="rId4" Type="http://schemas.openxmlformats.org/officeDocument/2006/relationships/comments" Target="../comments16.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6.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2.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4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8.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51.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52.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53.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4.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5.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6.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7.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8.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0.bin"/></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39.xml"/><Relationship Id="rId1" Type="http://schemas.openxmlformats.org/officeDocument/2006/relationships/printerSettings" Target="../printerSettings/printerSettings61.bin"/><Relationship Id="rId4" Type="http://schemas.openxmlformats.org/officeDocument/2006/relationships/comments" Target="../comments18.xml"/></Relationships>
</file>

<file path=xl/worksheets/_rels/sheet84.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9.vml"/><Relationship Id="rId7" Type="http://schemas.openxmlformats.org/officeDocument/2006/relationships/image" Target="../media/image11.emf"/><Relationship Id="rId2" Type="http://schemas.openxmlformats.org/officeDocument/2006/relationships/drawing" Target="../drawings/drawing40.xml"/><Relationship Id="rId1" Type="http://schemas.openxmlformats.org/officeDocument/2006/relationships/printerSettings" Target="../printerSettings/printerSettings62.bin"/><Relationship Id="rId6" Type="http://schemas.openxmlformats.org/officeDocument/2006/relationships/oleObject" Target="../embeddings/oleObject2.bin"/><Relationship Id="rId5" Type="http://schemas.openxmlformats.org/officeDocument/2006/relationships/image" Target="../media/image10.emf"/><Relationship Id="rId4" Type="http://schemas.openxmlformats.org/officeDocument/2006/relationships/oleObject" Target="../embeddings/oleObject1.bin"/><Relationship Id="rId9" Type="http://schemas.openxmlformats.org/officeDocument/2006/relationships/image" Target="../media/image12.emf"/></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3.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7.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5.bin"/><Relationship Id="rId1" Type="http://schemas.openxmlformats.org/officeDocument/2006/relationships/hyperlink" Target="https://en.wikipedia.org/wiki/Greeks_(finance)" TargetMode="External"/><Relationship Id="rId6" Type="http://schemas.openxmlformats.org/officeDocument/2006/relationships/image" Target="../media/image10.emf"/><Relationship Id="rId5" Type="http://schemas.openxmlformats.org/officeDocument/2006/relationships/oleObject" Target="../embeddings/oleObject4.bin"/><Relationship Id="rId4" Type="http://schemas.openxmlformats.org/officeDocument/2006/relationships/vmlDrawing" Target="../drawings/vmlDrawing20.vml"/></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9.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43.xml"/><Relationship Id="rId1" Type="http://schemas.openxmlformats.org/officeDocument/2006/relationships/printerSettings" Target="../printerSettings/printerSettings67.bin"/><Relationship Id="rId4" Type="http://schemas.openxmlformats.org/officeDocument/2006/relationships/comments" Target="../comments19.xml"/></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8.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7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74.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75.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7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0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2.vml"/></Relationships>
</file>

<file path=xl/worksheets/_rels/sheet10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3.vml"/></Relationships>
</file>

<file path=xl/worksheets/_rels/sheet10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4.v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5.vml"/></Relationships>
</file>

<file path=xl/worksheets/_rels/sheet10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6.vml"/></Relationships>
</file>

<file path=xl/worksheets/_rels/sheet10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7.vml"/></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78.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28C40-52FC-45B8-8DE9-0DF799D7748C}">
  <dimension ref="A3:J25"/>
  <sheetViews>
    <sheetView zoomScale="88" zoomScaleNormal="88" workbookViewId="0">
      <selection activeCell="N14" sqref="N14"/>
    </sheetView>
  </sheetViews>
  <sheetFormatPr baseColWidth="10" defaultColWidth="8.77734375" defaultRowHeight="13.2" x14ac:dyDescent="0.25"/>
  <cols>
    <col min="1" max="1" width="13" style="42" bestFit="1" customWidth="1"/>
    <col min="2" max="2" width="8.77734375" style="42"/>
    <col min="3" max="3" width="17.77734375" style="42" bestFit="1" customWidth="1"/>
    <col min="4" max="4" width="8.77734375" style="42"/>
    <col min="5" max="5" width="13.109375" style="42" bestFit="1" customWidth="1"/>
    <col min="6" max="16384" width="8.77734375" style="42"/>
  </cols>
  <sheetData>
    <row r="3" spans="3:5" x14ac:dyDescent="0.25">
      <c r="C3" s="46" t="s">
        <v>241</v>
      </c>
      <c r="E3" s="46" t="s">
        <v>242</v>
      </c>
    </row>
    <row r="7" spans="3:5" x14ac:dyDescent="0.25">
      <c r="C7" s="46" t="s">
        <v>243</v>
      </c>
    </row>
    <row r="11" spans="3:5" x14ac:dyDescent="0.25">
      <c r="C11" s="43" t="s">
        <v>244</v>
      </c>
    </row>
    <row r="18" spans="1:10" x14ac:dyDescent="0.25">
      <c r="H18" s="46" t="s">
        <v>245</v>
      </c>
    </row>
    <row r="19" spans="1:10" x14ac:dyDescent="0.25">
      <c r="A19" s="43" t="s">
        <v>246</v>
      </c>
    </row>
    <row r="21" spans="1:10" x14ac:dyDescent="0.25">
      <c r="D21" s="46" t="s">
        <v>247</v>
      </c>
    </row>
    <row r="25" spans="1:10" x14ac:dyDescent="0.25">
      <c r="F25" s="702" t="s">
        <v>248</v>
      </c>
      <c r="G25" s="702"/>
      <c r="H25" s="702"/>
      <c r="I25" s="702"/>
      <c r="J25" s="702"/>
    </row>
  </sheetData>
  <mergeCells count="1">
    <mergeCell ref="F25:J25"/>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88E3-3807-4810-90D8-A6B866C1D2FE}">
  <dimension ref="A1:N23"/>
  <sheetViews>
    <sheetView workbookViewId="0">
      <selection activeCell="N21" sqref="N21"/>
    </sheetView>
  </sheetViews>
  <sheetFormatPr baseColWidth="10" defaultColWidth="9.21875" defaultRowHeight="13.2" x14ac:dyDescent="0.25"/>
  <cols>
    <col min="1" max="1" width="9.21875" style="68"/>
    <col min="2" max="2" width="10.44140625" style="68" bestFit="1" customWidth="1"/>
    <col min="3" max="3" width="21.77734375" style="68" bestFit="1" customWidth="1"/>
    <col min="4" max="4" width="16" style="68" bestFit="1" customWidth="1"/>
    <col min="5" max="5" width="15.77734375" style="68" bestFit="1" customWidth="1"/>
    <col min="6" max="6" width="24.44140625" style="68" bestFit="1" customWidth="1"/>
    <col min="7" max="7" width="12.77734375" style="68" customWidth="1"/>
    <col min="8" max="8" width="12" style="68" bestFit="1" customWidth="1"/>
    <col min="9" max="9" width="18.21875" style="68" bestFit="1" customWidth="1"/>
    <col min="10" max="10" width="27.5546875" style="68" bestFit="1" customWidth="1"/>
    <col min="11" max="11" width="28" style="68" bestFit="1" customWidth="1"/>
    <col min="12" max="13" width="9.21875" style="68"/>
    <col min="14" max="14" width="12.21875" style="68" bestFit="1" customWidth="1"/>
    <col min="15" max="16384" width="9.21875" style="68"/>
  </cols>
  <sheetData>
    <row r="1" spans="1:14" x14ac:dyDescent="0.25">
      <c r="A1" s="179" t="s">
        <v>1</v>
      </c>
      <c r="B1" s="179" t="s">
        <v>19</v>
      </c>
      <c r="C1" s="83" t="s">
        <v>20</v>
      </c>
      <c r="D1" s="83" t="s">
        <v>2</v>
      </c>
      <c r="E1" s="83" t="s">
        <v>3</v>
      </c>
      <c r="F1" s="80" t="s">
        <v>249</v>
      </c>
      <c r="G1" s="80" t="s">
        <v>21</v>
      </c>
      <c r="H1" s="70" t="s">
        <v>15</v>
      </c>
      <c r="I1" s="70" t="s">
        <v>16</v>
      </c>
      <c r="J1" s="70" t="s">
        <v>255</v>
      </c>
      <c r="K1" s="71" t="s">
        <v>250</v>
      </c>
      <c r="L1" s="703" t="s">
        <v>254</v>
      </c>
      <c r="M1" s="703"/>
      <c r="N1" s="70" t="s">
        <v>4</v>
      </c>
    </row>
    <row r="2" spans="1:14" x14ac:dyDescent="0.25">
      <c r="A2" s="186">
        <v>1</v>
      </c>
      <c r="B2" s="3">
        <v>1750</v>
      </c>
      <c r="C2" s="187"/>
      <c r="D2" s="80"/>
      <c r="E2" s="54"/>
      <c r="F2" s="12"/>
      <c r="G2" s="12"/>
      <c r="H2" s="13"/>
      <c r="I2" s="13"/>
      <c r="J2" s="144"/>
      <c r="K2" s="13">
        <v>12000</v>
      </c>
      <c r="N2" s="12"/>
    </row>
    <row r="3" spans="1:14" x14ac:dyDescent="0.25">
      <c r="A3" s="140">
        <v>1</v>
      </c>
      <c r="B3" s="5"/>
      <c r="C3" s="2">
        <v>1741</v>
      </c>
      <c r="D3" s="2">
        <f>(C3-B2)*2*100</f>
        <v>-1800</v>
      </c>
      <c r="E3" s="10">
        <f>D3</f>
        <v>-1800</v>
      </c>
      <c r="F3" s="2">
        <f>K2+D3</f>
        <v>10200</v>
      </c>
      <c r="G3" s="2">
        <f t="shared" ref="G3:G17" si="0">(C3*2*100)-F3</f>
        <v>338000</v>
      </c>
      <c r="H3" s="5">
        <f>G3*$D$22*1/365</f>
        <v>46.301369863013697</v>
      </c>
      <c r="I3" s="14">
        <f t="shared" ref="I3:I17" si="1">F3*$D$23*1/365</f>
        <v>1.1178082191780823</v>
      </c>
      <c r="J3" s="147">
        <f>F3+H3-I3</f>
        <v>10245.183561643835</v>
      </c>
      <c r="K3" s="14">
        <f>J3+N3</f>
        <v>10245.183561643835</v>
      </c>
      <c r="N3" s="2">
        <f>IF(J3&lt;9000,12000-J3,0)</f>
        <v>0</v>
      </c>
    </row>
    <row r="4" spans="1:14" x14ac:dyDescent="0.25">
      <c r="A4" s="140">
        <f t="shared" ref="A4:A18" si="2">A3+1</f>
        <v>2</v>
      </c>
      <c r="B4" s="5"/>
      <c r="C4" s="2">
        <v>1738.3</v>
      </c>
      <c r="D4" s="2">
        <f t="shared" ref="D4:D17" si="3">(C4-C3)*2*100</f>
        <v>-540.00000000000909</v>
      </c>
      <c r="E4" s="10">
        <f>SUM(E3+D4)</f>
        <v>-2340.0000000000091</v>
      </c>
      <c r="F4" s="2">
        <f t="shared" ref="F4:F18" si="4">K3+D4</f>
        <v>9705.1835616438257</v>
      </c>
      <c r="G4" s="2">
        <f t="shared" si="0"/>
        <v>337954.81643835618</v>
      </c>
      <c r="H4" s="5">
        <f t="shared" ref="H4:H17" si="5">G4*$D$22*1/365</f>
        <v>46.295180334021396</v>
      </c>
      <c r="I4" s="14">
        <f t="shared" si="1"/>
        <v>1.0635817601801452</v>
      </c>
      <c r="J4" s="147">
        <f t="shared" ref="J4:J17" si="6">F4+H4-I4</f>
        <v>9750.415160217668</v>
      </c>
      <c r="K4" s="14">
        <f t="shared" ref="K4:K17" si="7">J4+N4</f>
        <v>9750.415160217668</v>
      </c>
      <c r="N4" s="2">
        <f t="shared" ref="N4:N17" si="8">IF(J4&lt;9000,12000-J4,0)</f>
        <v>0</v>
      </c>
    </row>
    <row r="5" spans="1:14" x14ac:dyDescent="0.25">
      <c r="A5" s="140">
        <f t="shared" si="2"/>
        <v>3</v>
      </c>
      <c r="B5" s="5"/>
      <c r="C5" s="2">
        <v>1744.6</v>
      </c>
      <c r="D5" s="2">
        <f t="shared" si="3"/>
        <v>1259.9999999999909</v>
      </c>
      <c r="E5" s="10">
        <f t="shared" ref="E5:E18" si="9">SUM(E4+D5)</f>
        <v>-1080.0000000000182</v>
      </c>
      <c r="F5" s="2">
        <f t="shared" si="4"/>
        <v>11010.415160217659</v>
      </c>
      <c r="G5" s="2">
        <f t="shared" si="0"/>
        <v>337909.58483978233</v>
      </c>
      <c r="H5" s="5">
        <f t="shared" si="5"/>
        <v>46.288984224627718</v>
      </c>
      <c r="I5" s="14">
        <f t="shared" si="1"/>
        <v>1.2066208394759077</v>
      </c>
      <c r="J5" s="147">
        <f t="shared" si="6"/>
        <v>11055.497523602811</v>
      </c>
      <c r="K5" s="14">
        <f t="shared" si="7"/>
        <v>11055.497523602811</v>
      </c>
      <c r="N5" s="2">
        <f t="shared" si="8"/>
        <v>0</v>
      </c>
    </row>
    <row r="6" spans="1:14" x14ac:dyDescent="0.25">
      <c r="A6" s="140">
        <f t="shared" si="2"/>
        <v>4</v>
      </c>
      <c r="B6" s="5"/>
      <c r="C6" s="2">
        <v>1741.3</v>
      </c>
      <c r="D6" s="2">
        <f t="shared" si="3"/>
        <v>-659.99999999999091</v>
      </c>
      <c r="E6" s="10">
        <f t="shared" si="9"/>
        <v>-1740.0000000000091</v>
      </c>
      <c r="F6" s="2">
        <f t="shared" si="4"/>
        <v>10395.49752360282</v>
      </c>
      <c r="G6" s="2">
        <f t="shared" si="0"/>
        <v>337864.5024763972</v>
      </c>
      <c r="H6" s="5">
        <f t="shared" si="5"/>
        <v>46.282808558410579</v>
      </c>
      <c r="I6" s="14">
        <f t="shared" si="1"/>
        <v>1.1392326053263364</v>
      </c>
      <c r="J6" s="147">
        <f t="shared" si="6"/>
        <v>10440.641099555904</v>
      </c>
      <c r="K6" s="14">
        <f t="shared" si="7"/>
        <v>10440.641099555904</v>
      </c>
      <c r="N6" s="2">
        <f t="shared" si="8"/>
        <v>0</v>
      </c>
    </row>
    <row r="7" spans="1:14" x14ac:dyDescent="0.25">
      <c r="A7" s="140">
        <f t="shared" si="2"/>
        <v>5</v>
      </c>
      <c r="B7" s="5"/>
      <c r="C7" s="2">
        <v>1740.1</v>
      </c>
      <c r="D7" s="2">
        <f t="shared" si="3"/>
        <v>-240.00000000000909</v>
      </c>
      <c r="E7" s="10">
        <f t="shared" si="9"/>
        <v>-1980.0000000000182</v>
      </c>
      <c r="F7" s="2">
        <f t="shared" si="4"/>
        <v>10200.641099555894</v>
      </c>
      <c r="G7" s="2">
        <f t="shared" si="0"/>
        <v>337819.35890044412</v>
      </c>
      <c r="H7" s="5">
        <f t="shared" si="5"/>
        <v>46.276624506910153</v>
      </c>
      <c r="I7" s="14">
        <f t="shared" si="1"/>
        <v>1.1178784766636598</v>
      </c>
      <c r="J7" s="147">
        <f t="shared" si="6"/>
        <v>10245.799845586142</v>
      </c>
      <c r="K7" s="14">
        <f t="shared" si="7"/>
        <v>10245.799845586142</v>
      </c>
      <c r="N7" s="2">
        <f t="shared" si="8"/>
        <v>0</v>
      </c>
    </row>
    <row r="8" spans="1:14" x14ac:dyDescent="0.25">
      <c r="A8" s="140">
        <f t="shared" si="2"/>
        <v>6</v>
      </c>
      <c r="B8" s="5"/>
      <c r="C8" s="2">
        <v>1736.2</v>
      </c>
      <c r="D8" s="2">
        <f t="shared" si="3"/>
        <v>-779.99999999997272</v>
      </c>
      <c r="E8" s="10">
        <f t="shared" si="9"/>
        <v>-2759.9999999999909</v>
      </c>
      <c r="F8" s="2">
        <f t="shared" si="4"/>
        <v>9465.7998455861689</v>
      </c>
      <c r="G8" s="2">
        <f t="shared" si="0"/>
        <v>337774.20015441382</v>
      </c>
      <c r="H8" s="5">
        <f t="shared" si="5"/>
        <v>46.270438377316964</v>
      </c>
      <c r="I8" s="14">
        <f t="shared" si="1"/>
        <v>1.0373479282834157</v>
      </c>
      <c r="J8" s="147">
        <f t="shared" si="6"/>
        <v>9511.0329360352025</v>
      </c>
      <c r="K8" s="14">
        <f t="shared" si="7"/>
        <v>9511.0329360352025</v>
      </c>
      <c r="N8" s="2">
        <f t="shared" si="8"/>
        <v>0</v>
      </c>
    </row>
    <row r="9" spans="1:14" x14ac:dyDescent="0.25">
      <c r="A9" s="140">
        <f t="shared" si="2"/>
        <v>7</v>
      </c>
      <c r="B9" s="5"/>
      <c r="C9" s="38">
        <v>1729.9</v>
      </c>
      <c r="D9" s="38">
        <f t="shared" si="3"/>
        <v>-1259.9999999999909</v>
      </c>
      <c r="E9" s="39">
        <f t="shared" si="9"/>
        <v>-4019.9999999999818</v>
      </c>
      <c r="F9" s="2">
        <f t="shared" si="4"/>
        <v>8251.0329360352116</v>
      </c>
      <c r="G9" s="2">
        <f t="shared" si="0"/>
        <v>337728.96706396481</v>
      </c>
      <c r="H9" s="5">
        <f t="shared" si="5"/>
        <v>46.264242063556821</v>
      </c>
      <c r="I9" s="14">
        <f t="shared" si="1"/>
        <v>0.90422278751070817</v>
      </c>
      <c r="J9" s="192">
        <f t="shared" si="6"/>
        <v>8296.3929553112575</v>
      </c>
      <c r="K9" s="40">
        <f t="shared" si="7"/>
        <v>12000</v>
      </c>
      <c r="L9" s="68" t="s">
        <v>14</v>
      </c>
      <c r="N9" s="8">
        <f t="shared" si="8"/>
        <v>3703.6070446887425</v>
      </c>
    </row>
    <row r="10" spans="1:14" x14ac:dyDescent="0.25">
      <c r="A10" s="140">
        <f t="shared" si="2"/>
        <v>8</v>
      </c>
      <c r="B10" s="5"/>
      <c r="C10" s="38">
        <v>1730.8</v>
      </c>
      <c r="D10" s="38">
        <f t="shared" si="3"/>
        <v>179.99999999997272</v>
      </c>
      <c r="E10" s="39">
        <f t="shared" si="9"/>
        <v>-3840.0000000000091</v>
      </c>
      <c r="F10" s="2">
        <f t="shared" si="4"/>
        <v>12179.999999999973</v>
      </c>
      <c r="G10" s="2">
        <f t="shared" si="0"/>
        <v>333980</v>
      </c>
      <c r="H10" s="5">
        <f t="shared" si="5"/>
        <v>45.750684931506846</v>
      </c>
      <c r="I10" s="14">
        <f t="shared" si="1"/>
        <v>1.3347945205479421</v>
      </c>
      <c r="J10" s="147">
        <f t="shared" si="6"/>
        <v>12224.415890410932</v>
      </c>
      <c r="K10" s="14">
        <f t="shared" si="7"/>
        <v>12224.415890410932</v>
      </c>
      <c r="N10" s="2">
        <f t="shared" si="8"/>
        <v>0</v>
      </c>
    </row>
    <row r="11" spans="1:14" x14ac:dyDescent="0.25">
      <c r="A11" s="140">
        <f t="shared" si="2"/>
        <v>9</v>
      </c>
      <c r="B11" s="5"/>
      <c r="C11" s="38">
        <v>1725.4</v>
      </c>
      <c r="D11" s="38">
        <f t="shared" si="3"/>
        <v>-1079.9999999999727</v>
      </c>
      <c r="E11" s="39">
        <f t="shared" si="9"/>
        <v>-4919.9999999999818</v>
      </c>
      <c r="F11" s="2">
        <f t="shared" si="4"/>
        <v>11144.415890410959</v>
      </c>
      <c r="G11" s="2">
        <f t="shared" si="0"/>
        <v>333935.58410958905</v>
      </c>
      <c r="H11" s="5">
        <f t="shared" si="5"/>
        <v>45.744600562957402</v>
      </c>
      <c r="I11" s="14">
        <f t="shared" si="1"/>
        <v>1.2213058510039407</v>
      </c>
      <c r="J11" s="147">
        <f t="shared" si="6"/>
        <v>11188.939185122912</v>
      </c>
      <c r="K11" s="14">
        <f t="shared" si="7"/>
        <v>11188.939185122912</v>
      </c>
      <c r="N11" s="2">
        <f t="shared" si="8"/>
        <v>0</v>
      </c>
    </row>
    <row r="12" spans="1:14" x14ac:dyDescent="0.25">
      <c r="A12" s="140">
        <f t="shared" si="2"/>
        <v>10</v>
      </c>
      <c r="B12" s="5"/>
      <c r="C12" s="38">
        <v>1728.1</v>
      </c>
      <c r="D12" s="38">
        <f t="shared" si="3"/>
        <v>539.99999999996362</v>
      </c>
      <c r="E12" s="39">
        <f t="shared" si="9"/>
        <v>-4380.0000000000182</v>
      </c>
      <c r="F12" s="2">
        <f t="shared" si="4"/>
        <v>11728.939185122876</v>
      </c>
      <c r="G12" s="2">
        <f t="shared" si="0"/>
        <v>333891.0608148771</v>
      </c>
      <c r="H12" s="5">
        <f t="shared" si="5"/>
        <v>45.738501481490019</v>
      </c>
      <c r="I12" s="14">
        <f t="shared" si="1"/>
        <v>1.2853631983696303</v>
      </c>
      <c r="J12" s="147">
        <f t="shared" si="6"/>
        <v>11773.392323405997</v>
      </c>
      <c r="K12" s="14">
        <f t="shared" si="7"/>
        <v>11773.392323405997</v>
      </c>
      <c r="N12" s="2">
        <f t="shared" si="8"/>
        <v>0</v>
      </c>
    </row>
    <row r="13" spans="1:14" x14ac:dyDescent="0.25">
      <c r="A13" s="140">
        <f t="shared" si="2"/>
        <v>11</v>
      </c>
      <c r="B13" s="5"/>
      <c r="C13" s="38">
        <v>1711</v>
      </c>
      <c r="D13" s="38">
        <f t="shared" si="3"/>
        <v>-3419.9999999999818</v>
      </c>
      <c r="E13" s="39">
        <f t="shared" si="9"/>
        <v>-7800</v>
      </c>
      <c r="F13" s="2">
        <f t="shared" si="4"/>
        <v>8353.3923234060148</v>
      </c>
      <c r="G13" s="2">
        <f t="shared" si="0"/>
        <v>333846.60767659399</v>
      </c>
      <c r="H13" s="5">
        <f t="shared" si="5"/>
        <v>45.732412010492325</v>
      </c>
      <c r="I13" s="14">
        <f t="shared" si="1"/>
        <v>0.91544025461983736</v>
      </c>
      <c r="J13" s="192">
        <f t="shared" si="6"/>
        <v>8398.2092951618888</v>
      </c>
      <c r="K13" s="40">
        <f t="shared" si="7"/>
        <v>12000</v>
      </c>
      <c r="L13" s="68" t="s">
        <v>14</v>
      </c>
      <c r="N13" s="8">
        <f t="shared" si="8"/>
        <v>3601.7907048381112</v>
      </c>
    </row>
    <row r="14" spans="1:14" x14ac:dyDescent="0.25">
      <c r="A14" s="140">
        <f t="shared" si="2"/>
        <v>12</v>
      </c>
      <c r="B14" s="5"/>
      <c r="C14" s="2">
        <v>1711</v>
      </c>
      <c r="D14" s="2">
        <f t="shared" si="3"/>
        <v>0</v>
      </c>
      <c r="E14" s="10">
        <f t="shared" si="9"/>
        <v>-7800</v>
      </c>
      <c r="F14" s="2">
        <f t="shared" si="4"/>
        <v>12000</v>
      </c>
      <c r="G14" s="2">
        <f t="shared" si="0"/>
        <v>330200</v>
      </c>
      <c r="H14" s="5">
        <f t="shared" si="5"/>
        <v>45.232876712328768</v>
      </c>
      <c r="I14" s="14">
        <f t="shared" si="1"/>
        <v>1.3150684931506849</v>
      </c>
      <c r="J14" s="147">
        <f t="shared" si="6"/>
        <v>12043.917808219177</v>
      </c>
      <c r="K14" s="14">
        <f t="shared" si="7"/>
        <v>12043.917808219177</v>
      </c>
      <c r="N14" s="2">
        <f t="shared" si="8"/>
        <v>0</v>
      </c>
    </row>
    <row r="15" spans="1:14" x14ac:dyDescent="0.25">
      <c r="A15" s="140">
        <f t="shared" si="2"/>
        <v>13</v>
      </c>
      <c r="B15" s="5"/>
      <c r="C15" s="2">
        <v>1714.3</v>
      </c>
      <c r="D15" s="2">
        <f t="shared" si="3"/>
        <v>659.99999999999091</v>
      </c>
      <c r="E15" s="10">
        <f t="shared" si="9"/>
        <v>-7140.0000000000091</v>
      </c>
      <c r="F15" s="2">
        <f t="shared" si="4"/>
        <v>12703.917808219168</v>
      </c>
      <c r="G15" s="2">
        <f t="shared" si="0"/>
        <v>330156.08219178085</v>
      </c>
      <c r="H15" s="5">
        <f t="shared" si="5"/>
        <v>45.226860574216559</v>
      </c>
      <c r="I15" s="14">
        <f t="shared" si="1"/>
        <v>1.3922101707637444</v>
      </c>
      <c r="J15" s="147">
        <f t="shared" si="6"/>
        <v>12747.752458622623</v>
      </c>
      <c r="K15" s="14">
        <f t="shared" si="7"/>
        <v>12747.752458622623</v>
      </c>
      <c r="N15" s="2">
        <f t="shared" si="8"/>
        <v>0</v>
      </c>
    </row>
    <row r="16" spans="1:14" x14ac:dyDescent="0.25">
      <c r="A16" s="140">
        <f t="shared" si="2"/>
        <v>14</v>
      </c>
      <c r="B16" s="5"/>
      <c r="C16" s="2">
        <v>1716.1</v>
      </c>
      <c r="D16" s="2">
        <f t="shared" si="3"/>
        <v>359.99999999999091</v>
      </c>
      <c r="E16" s="10">
        <f t="shared" si="9"/>
        <v>-6780.0000000000182</v>
      </c>
      <c r="F16" s="2">
        <f t="shared" si="4"/>
        <v>13107.752458622614</v>
      </c>
      <c r="G16" s="2">
        <f t="shared" si="0"/>
        <v>330112.24754137738</v>
      </c>
      <c r="H16" s="5">
        <f t="shared" si="5"/>
        <v>45.220855827585943</v>
      </c>
      <c r="I16" s="14">
        <f t="shared" si="1"/>
        <v>1.4364660228627522</v>
      </c>
      <c r="J16" s="147">
        <f t="shared" si="6"/>
        <v>13151.536848427337</v>
      </c>
      <c r="K16" s="14">
        <f t="shared" si="7"/>
        <v>13151.536848427337</v>
      </c>
      <c r="N16" s="2">
        <f t="shared" si="8"/>
        <v>0</v>
      </c>
    </row>
    <row r="17" spans="1:14" x14ac:dyDescent="0.25">
      <c r="A17" s="140">
        <f t="shared" si="2"/>
        <v>15</v>
      </c>
      <c r="B17" s="5"/>
      <c r="C17" s="2">
        <v>1723</v>
      </c>
      <c r="D17" s="2">
        <f t="shared" si="3"/>
        <v>1380.0000000000182</v>
      </c>
      <c r="E17" s="10">
        <f t="shared" si="9"/>
        <v>-5400</v>
      </c>
      <c r="F17" s="2">
        <f t="shared" si="4"/>
        <v>14531.536848427355</v>
      </c>
      <c r="G17" s="2">
        <f t="shared" si="0"/>
        <v>330068.46315157262</v>
      </c>
      <c r="H17" s="5">
        <f t="shared" si="5"/>
        <v>45.214857965968854</v>
      </c>
      <c r="I17" s="14">
        <f t="shared" si="1"/>
        <v>1.5924971888687514</v>
      </c>
      <c r="J17" s="147">
        <f t="shared" si="6"/>
        <v>14575.159209204456</v>
      </c>
      <c r="K17" s="14">
        <f t="shared" si="7"/>
        <v>14575.159209204456</v>
      </c>
      <c r="N17" s="2">
        <f t="shared" si="8"/>
        <v>0</v>
      </c>
    </row>
    <row r="18" spans="1:14" x14ac:dyDescent="0.25">
      <c r="A18" s="179">
        <f t="shared" si="2"/>
        <v>16</v>
      </c>
      <c r="B18" s="9">
        <v>1726.9</v>
      </c>
      <c r="C18" s="4">
        <f>B18</f>
        <v>1726.9</v>
      </c>
      <c r="D18" s="4">
        <f>(B18-C17)*2*100</f>
        <v>780.00000000001819</v>
      </c>
      <c r="E18" s="11">
        <f t="shared" si="9"/>
        <v>-4619.9999999999818</v>
      </c>
      <c r="F18" s="4">
        <f t="shared" si="4"/>
        <v>15355.159209204474</v>
      </c>
      <c r="G18" s="4"/>
      <c r="H18" s="15"/>
      <c r="I18" s="16"/>
      <c r="J18" s="191"/>
      <c r="K18" s="17"/>
      <c r="L18" s="88"/>
      <c r="M18" s="88"/>
      <c r="N18" s="4"/>
    </row>
    <row r="19" spans="1:14" x14ac:dyDescent="0.25">
      <c r="A19" s="137"/>
      <c r="B19" s="137"/>
    </row>
    <row r="20" spans="1:14" x14ac:dyDescent="0.25">
      <c r="C20" s="68" t="s">
        <v>251</v>
      </c>
      <c r="D20" s="188">
        <f>SUM(D3:D18)</f>
        <v>-4619.9999999999818</v>
      </c>
      <c r="F20" s="7">
        <f>C2*2*100</f>
        <v>0</v>
      </c>
    </row>
    <row r="21" spans="1:14" x14ac:dyDescent="0.25">
      <c r="C21" s="68" t="s">
        <v>88</v>
      </c>
      <c r="D21" s="37">
        <v>9000</v>
      </c>
      <c r="E21" s="68" t="s">
        <v>252</v>
      </c>
    </row>
    <row r="22" spans="1:14" x14ac:dyDescent="0.25">
      <c r="C22" s="68" t="s">
        <v>17</v>
      </c>
      <c r="D22" s="6">
        <v>0.05</v>
      </c>
    </row>
    <row r="23" spans="1:14" x14ac:dyDescent="0.25">
      <c r="C23" s="68" t="s">
        <v>18</v>
      </c>
      <c r="D23" s="6">
        <v>0.04</v>
      </c>
    </row>
  </sheetData>
  <mergeCells count="1">
    <mergeCell ref="L1:M1"/>
  </mergeCell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C955-4060-485B-ACB7-026E61A63BC9}">
  <dimension ref="A1:L24"/>
  <sheetViews>
    <sheetView topLeftCell="F1" workbookViewId="0">
      <selection activeCell="L2" sqref="L2"/>
    </sheetView>
  </sheetViews>
  <sheetFormatPr baseColWidth="10" defaultColWidth="9.21875" defaultRowHeight="13.2" x14ac:dyDescent="0.25"/>
  <cols>
    <col min="1" max="1" width="9.21875" style="68"/>
    <col min="2" max="2" width="10.44140625" style="68" bestFit="1" customWidth="1"/>
    <col min="3" max="3" width="21.77734375" style="68" bestFit="1" customWidth="1"/>
    <col min="4" max="4" width="16" style="68" bestFit="1" customWidth="1"/>
    <col min="5" max="5" width="15.77734375" style="68" bestFit="1" customWidth="1"/>
    <col min="6" max="6" width="24.44140625" style="68" bestFit="1" customWidth="1"/>
    <col min="7" max="7" width="12.77734375" style="68" customWidth="1"/>
    <col min="8" max="8" width="12" style="68" bestFit="1" customWidth="1"/>
    <col min="9" max="9" width="18.21875" style="68" bestFit="1" customWidth="1"/>
    <col min="10" max="10" width="27.5546875" style="68" bestFit="1" customWidth="1"/>
    <col min="11" max="11" width="28" style="68" bestFit="1" customWidth="1"/>
    <col min="12" max="12" width="12.21875" style="68" bestFit="1" customWidth="1"/>
    <col min="13" max="16384" width="9.21875" style="68"/>
  </cols>
  <sheetData>
    <row r="1" spans="1:12" x14ac:dyDescent="0.25">
      <c r="A1" s="179" t="s">
        <v>1</v>
      </c>
      <c r="B1" s="179" t="s">
        <v>19</v>
      </c>
      <c r="C1" s="83" t="s">
        <v>20</v>
      </c>
      <c r="D1" s="83" t="s">
        <v>2</v>
      </c>
      <c r="E1" s="83" t="s">
        <v>3</v>
      </c>
      <c r="F1" s="80" t="s">
        <v>249</v>
      </c>
      <c r="G1" s="80" t="s">
        <v>21</v>
      </c>
      <c r="H1" s="70" t="s">
        <v>15</v>
      </c>
      <c r="I1" s="70" t="s">
        <v>16</v>
      </c>
      <c r="J1" s="70" t="s">
        <v>255</v>
      </c>
      <c r="K1" s="71" t="s">
        <v>250</v>
      </c>
      <c r="L1" s="70" t="s">
        <v>4</v>
      </c>
    </row>
    <row r="2" spans="1:12" x14ac:dyDescent="0.25">
      <c r="A2" s="186">
        <v>1</v>
      </c>
      <c r="B2" s="3">
        <v>1750</v>
      </c>
      <c r="C2" s="189"/>
      <c r="D2" s="80"/>
      <c r="E2" s="54"/>
      <c r="F2" s="12">
        <v>12000</v>
      </c>
      <c r="G2" s="12"/>
      <c r="H2" s="13"/>
      <c r="I2" s="13"/>
      <c r="J2" s="144"/>
      <c r="K2" s="144">
        <f>F2</f>
        <v>12000</v>
      </c>
      <c r="L2" s="12"/>
    </row>
    <row r="3" spans="1:12" x14ac:dyDescent="0.25">
      <c r="A3" s="140">
        <v>1</v>
      </c>
      <c r="B3" s="5"/>
      <c r="C3" s="2">
        <f ca="1">B2*EXP(-$D$20*$D$20/360)*EXP($D$20*NORMSINV(RAND())*SQRT(1/360))</f>
        <v>1765.631236752035</v>
      </c>
      <c r="D3" s="2">
        <f ca="1">(C3-B2)*2*100</f>
        <v>3126.2473504069931</v>
      </c>
      <c r="E3" s="10">
        <f ca="1">D3</f>
        <v>3126.2473504069931</v>
      </c>
      <c r="F3" s="2">
        <f ca="1">K2+D3</f>
        <v>15126.247350406993</v>
      </c>
      <c r="G3" s="2">
        <f t="shared" ref="G3:G17" ca="1" si="0">(C3*2*100)-F3</f>
        <v>338000</v>
      </c>
      <c r="H3" s="5">
        <f ca="1">G3*$D$23*1/365</f>
        <v>46.301369863013697</v>
      </c>
      <c r="I3" s="14">
        <f t="shared" ref="I3:I17" ca="1" si="1">F3*$D$24*1/365</f>
        <v>1.6576709425103553</v>
      </c>
      <c r="J3" s="193">
        <f ca="1">F3+H3-I3</f>
        <v>15170.891049327496</v>
      </c>
      <c r="K3" s="147">
        <f t="shared" ref="K3:K17" ca="1" si="2">J3+L3</f>
        <v>15170.891049327496</v>
      </c>
      <c r="L3" s="2">
        <f ca="1">IF(J3&lt;9000,12000-J3,0)</f>
        <v>0</v>
      </c>
    </row>
    <row r="4" spans="1:12" x14ac:dyDescent="0.25">
      <c r="A4" s="140">
        <f t="shared" ref="A4:A18" si="3">A3+1</f>
        <v>2</v>
      </c>
      <c r="B4" s="5"/>
      <c r="C4" s="2">
        <f ca="1">C3*EXP(-$D$20*$D$20/360)*EXP($D$20*NORMSINV(RAND())*SQRT(1/360))</f>
        <v>1769.4203944925753</v>
      </c>
      <c r="D4" s="2">
        <f t="shared" ref="D4:D17" ca="1" si="4">(C4-C3)*2*100</f>
        <v>757.83154810806082</v>
      </c>
      <c r="E4" s="10">
        <f ca="1">SUM(E3+D4)</f>
        <v>3884.0788985150539</v>
      </c>
      <c r="F4" s="2">
        <f t="shared" ref="F4:F18" ca="1" si="5">K3+D4</f>
        <v>15928.722597435557</v>
      </c>
      <c r="G4" s="2">
        <f t="shared" ca="1" si="0"/>
        <v>337955.35630107945</v>
      </c>
      <c r="H4" s="5">
        <f t="shared" ref="H4:H17" ca="1" si="6">G4*$D$23*1/365</f>
        <v>46.295254287819105</v>
      </c>
      <c r="I4" s="14">
        <f t="shared" ca="1" si="1"/>
        <v>1.7456134353354036</v>
      </c>
      <c r="J4" s="193">
        <f t="shared" ref="J4:J17" ca="1" si="7">F4+H4-I4</f>
        <v>15973.27223828804</v>
      </c>
      <c r="K4" s="147">
        <f t="shared" ca="1" si="2"/>
        <v>15973.27223828804</v>
      </c>
      <c r="L4" s="2">
        <f t="shared" ref="L4:L17" ca="1" si="8">IF(J4&lt;9000,12000-J4,0)</f>
        <v>0</v>
      </c>
    </row>
    <row r="5" spans="1:12" x14ac:dyDescent="0.25">
      <c r="A5" s="140">
        <f t="shared" si="3"/>
        <v>3</v>
      </c>
      <c r="B5" s="5"/>
      <c r="C5" s="2">
        <f t="shared" ref="C5:C18" ca="1" si="9">C4*EXP(-$D$20*$D$20/360)*EXP($D$20*NORMSINV(RAND())*SQRT(1/360))</f>
        <v>1773.0589058467328</v>
      </c>
      <c r="D5" s="2">
        <f t="shared" ca="1" si="4"/>
        <v>727.7022708315144</v>
      </c>
      <c r="E5" s="10">
        <f t="shared" ref="E5:E18" ca="1" si="10">SUM(E4+D5)</f>
        <v>4611.7811693465683</v>
      </c>
      <c r="F5" s="2">
        <f t="shared" ca="1" si="5"/>
        <v>16700.974509119555</v>
      </c>
      <c r="G5" s="2">
        <f t="shared" ca="1" si="0"/>
        <v>337910.80666022701</v>
      </c>
      <c r="H5" s="5">
        <f t="shared" ca="1" si="6"/>
        <v>46.289151597291372</v>
      </c>
      <c r="I5" s="14">
        <f t="shared" ca="1" si="1"/>
        <v>1.8302437818213211</v>
      </c>
      <c r="J5" s="193">
        <f t="shared" ca="1" si="7"/>
        <v>16745.433416935026</v>
      </c>
      <c r="K5" s="147">
        <f t="shared" ca="1" si="2"/>
        <v>16745.433416935026</v>
      </c>
      <c r="L5" s="2">
        <f t="shared" ca="1" si="8"/>
        <v>0</v>
      </c>
    </row>
    <row r="6" spans="1:12" x14ac:dyDescent="0.25">
      <c r="A6" s="140">
        <f t="shared" si="3"/>
        <v>4</v>
      </c>
      <c r="B6" s="5"/>
      <c r="C6" s="2">
        <f t="shared" ca="1" si="9"/>
        <v>1755.6472757181409</v>
      </c>
      <c r="D6" s="2">
        <f t="shared" ca="1" si="4"/>
        <v>-3482.3260257183847</v>
      </c>
      <c r="E6" s="10">
        <f t="shared" ca="1" si="10"/>
        <v>1129.4551436281836</v>
      </c>
      <c r="F6" s="2">
        <f t="shared" ca="1" si="5"/>
        <v>13263.107391216641</v>
      </c>
      <c r="G6" s="2">
        <f t="shared" ca="1" si="0"/>
        <v>337866.34775241156</v>
      </c>
      <c r="H6" s="5">
        <f t="shared" ca="1" si="6"/>
        <v>46.283061335946797</v>
      </c>
      <c r="I6" s="14">
        <f t="shared" ca="1" si="1"/>
        <v>1.4534912209552484</v>
      </c>
      <c r="J6" s="193">
        <f t="shared" ca="1" si="7"/>
        <v>13307.936961331634</v>
      </c>
      <c r="K6" s="147">
        <f t="shared" ca="1" si="2"/>
        <v>13307.936961331634</v>
      </c>
      <c r="L6" s="2">
        <f t="shared" ca="1" si="8"/>
        <v>0</v>
      </c>
    </row>
    <row r="7" spans="1:12" x14ac:dyDescent="0.25">
      <c r="A7" s="140">
        <f t="shared" si="3"/>
        <v>5</v>
      </c>
      <c r="B7" s="5"/>
      <c r="C7" s="2">
        <f t="shared" ca="1" si="9"/>
        <v>1727.1902518960687</v>
      </c>
      <c r="D7" s="2">
        <f t="shared" ca="1" si="4"/>
        <v>-5691.4047644144375</v>
      </c>
      <c r="E7" s="10">
        <f t="shared" ca="1" si="10"/>
        <v>-4561.9496207862539</v>
      </c>
      <c r="F7" s="2">
        <f t="shared" ca="1" si="5"/>
        <v>7616.5321969171964</v>
      </c>
      <c r="G7" s="2">
        <f t="shared" ca="1" si="0"/>
        <v>337821.51818229654</v>
      </c>
      <c r="H7" s="5">
        <f t="shared" ca="1" si="6"/>
        <v>46.276920298944738</v>
      </c>
      <c r="I7" s="14">
        <f t="shared" ca="1" si="1"/>
        <v>0.83468845993613117</v>
      </c>
      <c r="J7" s="193">
        <f t="shared" ca="1" si="7"/>
        <v>7661.9744287562053</v>
      </c>
      <c r="K7" s="147">
        <f t="shared" ca="1" si="2"/>
        <v>12000</v>
      </c>
      <c r="L7" s="2">
        <f t="shared" ca="1" si="8"/>
        <v>4338.0255712437947</v>
      </c>
    </row>
    <row r="8" spans="1:12" x14ac:dyDescent="0.25">
      <c r="A8" s="140">
        <f t="shared" si="3"/>
        <v>6</v>
      </c>
      <c r="B8" s="5"/>
      <c r="C8" s="2">
        <f t="shared" ca="1" si="9"/>
        <v>1737.6724288404416</v>
      </c>
      <c r="D8" s="2">
        <f t="shared" ca="1" si="4"/>
        <v>2096.4353888745791</v>
      </c>
      <c r="E8" s="10">
        <f t="shared" ca="1" si="10"/>
        <v>-2465.5142319116749</v>
      </c>
      <c r="F8" s="2">
        <f t="shared" ca="1" si="5"/>
        <v>14096.435388874579</v>
      </c>
      <c r="G8" s="2">
        <f t="shared" ca="1" si="0"/>
        <v>333438.05037921376</v>
      </c>
      <c r="H8" s="5">
        <f t="shared" ca="1" si="6"/>
        <v>45.676445257426543</v>
      </c>
      <c r="I8" s="14">
        <f t="shared" ca="1" si="1"/>
        <v>1.5448148371369401</v>
      </c>
      <c r="J8" s="193">
        <f t="shared" ca="1" si="7"/>
        <v>14140.567019294869</v>
      </c>
      <c r="K8" s="147">
        <f t="shared" ca="1" si="2"/>
        <v>14140.567019294869</v>
      </c>
      <c r="L8" s="2">
        <f t="shared" ca="1" si="8"/>
        <v>0</v>
      </c>
    </row>
    <row r="9" spans="1:12" x14ac:dyDescent="0.25">
      <c r="A9" s="140">
        <f t="shared" si="3"/>
        <v>7</v>
      </c>
      <c r="B9" s="5"/>
      <c r="C9" s="2">
        <f t="shared" ca="1" si="9"/>
        <v>1751.0542585231269</v>
      </c>
      <c r="D9" s="38">
        <f t="shared" ca="1" si="4"/>
        <v>2676.3659365370586</v>
      </c>
      <c r="E9" s="39">
        <f t="shared" ca="1" si="10"/>
        <v>210.85170462538372</v>
      </c>
      <c r="F9" s="2">
        <f t="shared" ca="1" si="5"/>
        <v>16816.93295583193</v>
      </c>
      <c r="G9" s="2">
        <f t="shared" ca="1" si="0"/>
        <v>333393.91874879348</v>
      </c>
      <c r="H9" s="5">
        <f t="shared" ca="1" si="6"/>
        <v>45.670399828601852</v>
      </c>
      <c r="I9" s="14">
        <f t="shared" ca="1" si="1"/>
        <v>1.8429515568034993</v>
      </c>
      <c r="J9" s="193">
        <f t="shared" ca="1" si="7"/>
        <v>16860.76040410373</v>
      </c>
      <c r="K9" s="147">
        <f t="shared" ca="1" si="2"/>
        <v>16860.76040410373</v>
      </c>
      <c r="L9" s="2">
        <f t="shared" ca="1" si="8"/>
        <v>0</v>
      </c>
    </row>
    <row r="10" spans="1:12" x14ac:dyDescent="0.25">
      <c r="A10" s="140">
        <f t="shared" si="3"/>
        <v>8</v>
      </c>
      <c r="B10" s="5"/>
      <c r="C10" s="2">
        <f t="shared" ca="1" si="9"/>
        <v>1723.9116686594186</v>
      </c>
      <c r="D10" s="38">
        <f t="shared" ca="1" si="4"/>
        <v>-5428.5179727416562</v>
      </c>
      <c r="E10" s="39">
        <f t="shared" ca="1" si="10"/>
        <v>-5217.6662681162725</v>
      </c>
      <c r="F10" s="2">
        <f t="shared" ca="1" si="5"/>
        <v>11432.242431362074</v>
      </c>
      <c r="G10" s="2">
        <f t="shared" ca="1" si="0"/>
        <v>333350.09130052163</v>
      </c>
      <c r="H10" s="5">
        <f t="shared" ca="1" si="6"/>
        <v>45.664396068564614</v>
      </c>
      <c r="I10" s="14">
        <f t="shared" ca="1" si="1"/>
        <v>1.2528484856287205</v>
      </c>
      <c r="J10" s="193">
        <f t="shared" ca="1" si="7"/>
        <v>11476.653978945011</v>
      </c>
      <c r="K10" s="147">
        <f t="shared" ca="1" si="2"/>
        <v>11476.653978945011</v>
      </c>
      <c r="L10" s="2">
        <f t="shared" ca="1" si="8"/>
        <v>0</v>
      </c>
    </row>
    <row r="11" spans="1:12" x14ac:dyDescent="0.25">
      <c r="A11" s="140">
        <f t="shared" si="3"/>
        <v>9</v>
      </c>
      <c r="B11" s="5"/>
      <c r="C11" s="2">
        <f t="shared" ca="1" si="9"/>
        <v>1728.9688667190644</v>
      </c>
      <c r="D11" s="38">
        <f t="shared" ca="1" si="4"/>
        <v>1011.4396119291541</v>
      </c>
      <c r="E11" s="39">
        <f t="shared" ca="1" si="10"/>
        <v>-4206.2266561871184</v>
      </c>
      <c r="F11" s="2">
        <f t="shared" ca="1" si="5"/>
        <v>12488.093590874165</v>
      </c>
      <c r="G11" s="2">
        <f t="shared" ca="1" si="0"/>
        <v>333305.67975293874</v>
      </c>
      <c r="H11" s="5">
        <f t="shared" ca="1" si="6"/>
        <v>45.658312294923114</v>
      </c>
      <c r="I11" s="14">
        <f t="shared" ca="1" si="1"/>
        <v>1.3685582017396345</v>
      </c>
      <c r="J11" s="193">
        <f t="shared" ca="1" si="7"/>
        <v>12532.383344967349</v>
      </c>
      <c r="K11" s="147">
        <f t="shared" ca="1" si="2"/>
        <v>12532.383344967349</v>
      </c>
      <c r="L11" s="2">
        <f t="shared" ca="1" si="8"/>
        <v>0</v>
      </c>
    </row>
    <row r="12" spans="1:12" x14ac:dyDescent="0.25">
      <c r="A12" s="140">
        <f t="shared" si="3"/>
        <v>10</v>
      </c>
      <c r="B12" s="5"/>
      <c r="C12" s="2">
        <f t="shared" ca="1" si="9"/>
        <v>1715.4682972612181</v>
      </c>
      <c r="D12" s="38">
        <f t="shared" ca="1" si="4"/>
        <v>-2700.1138915692536</v>
      </c>
      <c r="E12" s="39">
        <f t="shared" ca="1" si="10"/>
        <v>-6906.340547756372</v>
      </c>
      <c r="F12" s="2">
        <f t="shared" ca="1" si="5"/>
        <v>9832.2694533980957</v>
      </c>
      <c r="G12" s="2">
        <f t="shared" ca="1" si="0"/>
        <v>333261.38999884558</v>
      </c>
      <c r="H12" s="5">
        <f t="shared" ca="1" si="6"/>
        <v>45.652245205321321</v>
      </c>
      <c r="I12" s="14">
        <f t="shared" ca="1" si="1"/>
        <v>1.0775089811943119</v>
      </c>
      <c r="J12" s="193">
        <f t="shared" ca="1" si="7"/>
        <v>9876.844189622223</v>
      </c>
      <c r="K12" s="147">
        <f t="shared" ca="1" si="2"/>
        <v>9876.844189622223</v>
      </c>
      <c r="L12" s="2">
        <f t="shared" ca="1" si="8"/>
        <v>0</v>
      </c>
    </row>
    <row r="13" spans="1:12" x14ac:dyDescent="0.25">
      <c r="A13" s="140">
        <f t="shared" si="3"/>
        <v>11</v>
      </c>
      <c r="B13" s="5"/>
      <c r="C13" s="2">
        <f t="shared" ca="1" si="9"/>
        <v>1740.4118197953187</v>
      </c>
      <c r="D13" s="38">
        <f t="shared" ca="1" si="4"/>
        <v>4988.7045068201132</v>
      </c>
      <c r="E13" s="39">
        <f t="shared" ca="1" si="10"/>
        <v>-1917.6360409362587</v>
      </c>
      <c r="F13" s="2">
        <f t="shared" ca="1" si="5"/>
        <v>14865.548696442336</v>
      </c>
      <c r="G13" s="2">
        <f t="shared" ca="1" si="0"/>
        <v>333216.81526262139</v>
      </c>
      <c r="H13" s="5">
        <f t="shared" ca="1" si="6"/>
        <v>45.646139077071425</v>
      </c>
      <c r="I13" s="14">
        <f t="shared" ca="1" si="1"/>
        <v>1.6291012270073795</v>
      </c>
      <c r="J13" s="193">
        <f t="shared" ca="1" si="7"/>
        <v>14909.565734292401</v>
      </c>
      <c r="K13" s="147">
        <f t="shared" ca="1" si="2"/>
        <v>14909.565734292401</v>
      </c>
      <c r="L13" s="2">
        <f t="shared" ca="1" si="8"/>
        <v>0</v>
      </c>
    </row>
    <row r="14" spans="1:12" x14ac:dyDescent="0.25">
      <c r="A14" s="140">
        <f t="shared" si="3"/>
        <v>12</v>
      </c>
      <c r="B14" s="5"/>
      <c r="C14" s="2">
        <f t="shared" ca="1" si="9"/>
        <v>1780.1163544757405</v>
      </c>
      <c r="D14" s="2">
        <f t="shared" ca="1" si="4"/>
        <v>7940.906936084366</v>
      </c>
      <c r="E14" s="10">
        <f t="shared" ca="1" si="10"/>
        <v>6023.2708951481072</v>
      </c>
      <c r="F14" s="2">
        <f t="shared" ca="1" si="5"/>
        <v>22850.472670376766</v>
      </c>
      <c r="G14" s="2">
        <f t="shared" ca="1" si="0"/>
        <v>333172.79822477134</v>
      </c>
      <c r="H14" s="5">
        <f t="shared" ca="1" si="6"/>
        <v>45.640109345859088</v>
      </c>
      <c r="I14" s="14">
        <f t="shared" ca="1" si="1"/>
        <v>2.50416138853444</v>
      </c>
      <c r="J14" s="193">
        <f t="shared" ca="1" si="7"/>
        <v>22893.608618334092</v>
      </c>
      <c r="K14" s="147">
        <f t="shared" ca="1" si="2"/>
        <v>22893.608618334092</v>
      </c>
      <c r="L14" s="2">
        <f t="shared" ca="1" si="8"/>
        <v>0</v>
      </c>
    </row>
    <row r="15" spans="1:12" x14ac:dyDescent="0.25">
      <c r="A15" s="140">
        <f t="shared" si="3"/>
        <v>13</v>
      </c>
      <c r="B15" s="5"/>
      <c r="C15" s="2">
        <f t="shared" ca="1" si="9"/>
        <v>1792.3564615386335</v>
      </c>
      <c r="D15" s="2">
        <f t="shared" ca="1" si="4"/>
        <v>2448.0214125786006</v>
      </c>
      <c r="E15" s="10">
        <f t="shared" ca="1" si="10"/>
        <v>8471.2923077267078</v>
      </c>
      <c r="F15" s="2">
        <f t="shared" ca="1" si="5"/>
        <v>25341.630030912693</v>
      </c>
      <c r="G15" s="2">
        <f t="shared" ca="1" si="0"/>
        <v>333129.66227681399</v>
      </c>
      <c r="H15" s="5">
        <f t="shared" ca="1" si="6"/>
        <v>45.634200311892329</v>
      </c>
      <c r="I15" s="14">
        <f t="shared" ca="1" si="1"/>
        <v>2.7771649348945417</v>
      </c>
      <c r="J15" s="193">
        <f t="shared" ca="1" si="7"/>
        <v>25384.48706628969</v>
      </c>
      <c r="K15" s="147">
        <f t="shared" ca="1" si="2"/>
        <v>25384.48706628969</v>
      </c>
      <c r="L15" s="2">
        <f t="shared" ca="1" si="8"/>
        <v>0</v>
      </c>
    </row>
    <row r="16" spans="1:12" x14ac:dyDescent="0.25">
      <c r="A16" s="140">
        <f t="shared" si="3"/>
        <v>14</v>
      </c>
      <c r="B16" s="5"/>
      <c r="C16" s="2">
        <f t="shared" ca="1" si="9"/>
        <v>1787.8545799341689</v>
      </c>
      <c r="D16" s="2">
        <f t="shared" ca="1" si="4"/>
        <v>-900.37632089292856</v>
      </c>
      <c r="E16" s="10">
        <f t="shared" ca="1" si="10"/>
        <v>7570.9159868337792</v>
      </c>
      <c r="F16" s="2">
        <f t="shared" ca="1" si="5"/>
        <v>24484.110745396763</v>
      </c>
      <c r="G16" s="2">
        <f t="shared" ca="1" si="0"/>
        <v>333086.80524143705</v>
      </c>
      <c r="H16" s="5">
        <f t="shared" ca="1" si="6"/>
        <v>45.628329485128361</v>
      </c>
      <c r="I16" s="14">
        <f t="shared" ca="1" si="1"/>
        <v>2.6831902186736181</v>
      </c>
      <c r="J16" s="193">
        <f t="shared" ca="1" si="7"/>
        <v>24527.055884663216</v>
      </c>
      <c r="K16" s="147">
        <f t="shared" ca="1" si="2"/>
        <v>24527.055884663216</v>
      </c>
      <c r="L16" s="2">
        <f t="shared" ca="1" si="8"/>
        <v>0</v>
      </c>
    </row>
    <row r="17" spans="1:12" x14ac:dyDescent="0.25">
      <c r="A17" s="140">
        <f t="shared" si="3"/>
        <v>15</v>
      </c>
      <c r="B17" s="5"/>
      <c r="C17" s="2">
        <f t="shared" ca="1" si="9"/>
        <v>1763.4473028341411</v>
      </c>
      <c r="D17" s="2">
        <f t="shared" ca="1" si="4"/>
        <v>-4881.4554200055682</v>
      </c>
      <c r="E17" s="10">
        <f t="shared" ca="1" si="10"/>
        <v>2689.4605668282111</v>
      </c>
      <c r="F17" s="2">
        <f t="shared" ca="1" si="5"/>
        <v>19645.600464657648</v>
      </c>
      <c r="G17" s="2">
        <f t="shared" ca="1" si="0"/>
        <v>333043.86010217055</v>
      </c>
      <c r="H17" s="5">
        <f t="shared" ca="1" si="6"/>
        <v>45.622446589338438</v>
      </c>
      <c r="I17" s="14">
        <f t="shared" ca="1" si="1"/>
        <v>2.1529425166748108</v>
      </c>
      <c r="J17" s="193">
        <f t="shared" ca="1" si="7"/>
        <v>19689.069968730313</v>
      </c>
      <c r="K17" s="147">
        <f t="shared" ca="1" si="2"/>
        <v>19689.069968730313</v>
      </c>
      <c r="L17" s="2">
        <f t="shared" ca="1" si="8"/>
        <v>0</v>
      </c>
    </row>
    <row r="18" spans="1:12" x14ac:dyDescent="0.25">
      <c r="A18" s="179">
        <f t="shared" si="3"/>
        <v>16</v>
      </c>
      <c r="B18" s="9">
        <f ca="1">C18</f>
        <v>1739.5873867775897</v>
      </c>
      <c r="C18" s="4">
        <f t="shared" ca="1" si="9"/>
        <v>1739.5873867775897</v>
      </c>
      <c r="D18" s="4">
        <f ca="1">(B18-C17)*2*100</f>
        <v>-4771.9832113102711</v>
      </c>
      <c r="E18" s="11">
        <f t="shared" ca="1" si="10"/>
        <v>-2082.5226444820601</v>
      </c>
      <c r="F18" s="4">
        <f t="shared" ca="1" si="5"/>
        <v>14917.086757420042</v>
      </c>
      <c r="G18" s="4"/>
      <c r="H18" s="15"/>
      <c r="I18" s="16"/>
      <c r="J18" s="191"/>
      <c r="K18" s="95"/>
      <c r="L18" s="4"/>
    </row>
    <row r="19" spans="1:12" x14ac:dyDescent="0.25">
      <c r="A19" s="137"/>
      <c r="B19" s="137"/>
    </row>
    <row r="20" spans="1:12" x14ac:dyDescent="0.25">
      <c r="A20" s="137"/>
      <c r="B20" s="137"/>
      <c r="C20" s="68" t="s">
        <v>253</v>
      </c>
      <c r="D20" s="6">
        <v>0.2</v>
      </c>
    </row>
    <row r="21" spans="1:12" x14ac:dyDescent="0.25">
      <c r="C21" s="68" t="s">
        <v>251</v>
      </c>
      <c r="D21" s="188">
        <f ca="1">SUM(D3:D18)</f>
        <v>-2082.5226444820601</v>
      </c>
      <c r="F21" s="7">
        <f>C2*2*100</f>
        <v>0</v>
      </c>
    </row>
    <row r="22" spans="1:12" x14ac:dyDescent="0.25">
      <c r="C22" s="68" t="s">
        <v>88</v>
      </c>
      <c r="D22" s="37">
        <v>9000</v>
      </c>
      <c r="E22" s="68" t="s">
        <v>252</v>
      </c>
    </row>
    <row r="23" spans="1:12" x14ac:dyDescent="0.25">
      <c r="C23" s="68" t="s">
        <v>17</v>
      </c>
      <c r="D23" s="6">
        <v>0.05</v>
      </c>
    </row>
    <row r="24" spans="1:12" x14ac:dyDescent="0.25">
      <c r="C24" s="68" t="s">
        <v>18</v>
      </c>
      <c r="D24" s="6">
        <v>0.04</v>
      </c>
    </row>
  </sheetData>
  <conditionalFormatting sqref="J3">
    <cfRule type="expression" dxfId="16" priority="16">
      <formula>$J$3&lt;$D$22</formula>
    </cfRule>
  </conditionalFormatting>
  <conditionalFormatting sqref="J4">
    <cfRule type="expression" dxfId="15" priority="15">
      <formula>$J$4&lt;$D$22</formula>
    </cfRule>
  </conditionalFormatting>
  <conditionalFormatting sqref="J5">
    <cfRule type="expression" dxfId="14" priority="14">
      <formula>$J$5&lt;$D$22</formula>
    </cfRule>
  </conditionalFormatting>
  <conditionalFormatting sqref="J6">
    <cfRule type="expression" dxfId="13" priority="13">
      <formula>$J$6&lt;$D$22</formula>
    </cfRule>
  </conditionalFormatting>
  <conditionalFormatting sqref="J7">
    <cfRule type="expression" dxfId="12" priority="12">
      <formula>$J$7&lt;$D$22</formula>
    </cfRule>
  </conditionalFormatting>
  <conditionalFormatting sqref="J8">
    <cfRule type="expression" dxfId="11" priority="11">
      <formula>$J$8&lt;$D$22</formula>
    </cfRule>
  </conditionalFormatting>
  <conditionalFormatting sqref="J9">
    <cfRule type="expression" dxfId="10" priority="10">
      <formula>$J$9&lt;$D$22</formula>
    </cfRule>
  </conditionalFormatting>
  <conditionalFormatting sqref="J10">
    <cfRule type="expression" dxfId="9" priority="8">
      <formula>$J$10&lt;$D$22</formula>
    </cfRule>
  </conditionalFormatting>
  <conditionalFormatting sqref="J11">
    <cfRule type="expression" dxfId="8" priority="7">
      <formula>$J$11&lt;$D$22</formula>
    </cfRule>
  </conditionalFormatting>
  <conditionalFormatting sqref="J12">
    <cfRule type="expression" dxfId="7" priority="6">
      <formula>$J$12&lt;$D$22</formula>
    </cfRule>
  </conditionalFormatting>
  <conditionalFormatting sqref="J13">
    <cfRule type="expression" dxfId="6" priority="5">
      <formula>$J$13&lt;$D$22</formula>
    </cfRule>
  </conditionalFormatting>
  <conditionalFormatting sqref="J14">
    <cfRule type="expression" dxfId="5" priority="4">
      <formula>$J$14&lt;$D$22</formula>
    </cfRule>
  </conditionalFormatting>
  <conditionalFormatting sqref="J15">
    <cfRule type="expression" dxfId="4" priority="3">
      <formula>$J$15&lt;$D$22</formula>
    </cfRule>
  </conditionalFormatting>
  <conditionalFormatting sqref="J16">
    <cfRule type="expression" dxfId="3" priority="2">
      <formula>$J$16&lt;$D$22</formula>
    </cfRule>
  </conditionalFormatting>
  <conditionalFormatting sqref="J17">
    <cfRule type="expression" dxfId="2" priority="1">
      <formula>$J$17&lt;$D$22</formula>
    </cfRule>
  </conditionalFormatting>
  <conditionalFormatting sqref="K3:K17">
    <cfRule type="cellIs" dxfId="1" priority="32" operator="lessThan">
      <formula>$D$22</formula>
    </cfRule>
  </conditionalFormatting>
  <conditionalFormatting sqref="L3:L18">
    <cfRule type="cellIs" dxfId="0" priority="17" operator="greaterThan">
      <formula>0</formula>
    </cfRule>
  </conditionalFormatting>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AD6B-4ABE-4E30-A665-8AA32930BA29}">
  <dimension ref="A1:D20"/>
  <sheetViews>
    <sheetView zoomScale="104" zoomScaleNormal="104" workbookViewId="0">
      <selection activeCell="C7" sqref="C7"/>
    </sheetView>
  </sheetViews>
  <sheetFormatPr baseColWidth="10" defaultColWidth="9.21875" defaultRowHeight="13.2" x14ac:dyDescent="0.25"/>
  <cols>
    <col min="1" max="1" width="9.21875" style="68"/>
    <col min="2" max="2" width="53.5546875" style="68" bestFit="1" customWidth="1"/>
    <col min="3" max="4" width="14" style="68" bestFit="1" customWidth="1"/>
    <col min="5" max="5" width="7.21875" style="68" bestFit="1" customWidth="1"/>
    <col min="6" max="6" width="10.21875" style="68" bestFit="1" customWidth="1"/>
    <col min="7" max="7" width="10" style="68" bestFit="1" customWidth="1"/>
    <col min="8" max="16384" width="9.21875" style="68"/>
  </cols>
  <sheetData>
    <row r="1" spans="1:4" x14ac:dyDescent="0.25">
      <c r="A1" s="194">
        <v>40193</v>
      </c>
      <c r="B1" s="71" t="s">
        <v>10</v>
      </c>
      <c r="C1" s="70">
        <v>4</v>
      </c>
    </row>
    <row r="2" spans="1:4" x14ac:dyDescent="0.25">
      <c r="A2" s="138"/>
      <c r="B2" s="138" t="s">
        <v>11</v>
      </c>
      <c r="C2" s="80">
        <v>25000</v>
      </c>
    </row>
    <row r="3" spans="1:4" x14ac:dyDescent="0.25">
      <c r="A3" s="138"/>
      <c r="B3" s="138" t="s">
        <v>9</v>
      </c>
      <c r="C3" s="2">
        <v>3.8</v>
      </c>
    </row>
    <row r="4" spans="1:4" x14ac:dyDescent="0.25">
      <c r="A4" s="141"/>
      <c r="B4" s="141" t="s">
        <v>12</v>
      </c>
      <c r="C4" s="4">
        <v>3.7</v>
      </c>
    </row>
    <row r="6" spans="1:4" x14ac:dyDescent="0.25">
      <c r="A6" s="195"/>
      <c r="C6" s="69" t="s">
        <v>7</v>
      </c>
      <c r="D6" s="178" t="s">
        <v>8</v>
      </c>
    </row>
    <row r="7" spans="1:4" x14ac:dyDescent="0.25">
      <c r="A7" s="704">
        <v>40313</v>
      </c>
      <c r="B7" s="71" t="s">
        <v>9</v>
      </c>
      <c r="C7" s="2">
        <v>3.7</v>
      </c>
      <c r="D7" s="5">
        <v>3.85</v>
      </c>
    </row>
    <row r="8" spans="1:4" x14ac:dyDescent="0.25">
      <c r="A8" s="705"/>
      <c r="B8" s="138" t="s">
        <v>12</v>
      </c>
      <c r="C8" s="2">
        <v>3.85</v>
      </c>
      <c r="D8" s="5">
        <v>3.2</v>
      </c>
    </row>
    <row r="9" spans="1:4" x14ac:dyDescent="0.25">
      <c r="A9" s="705"/>
      <c r="B9" s="196" t="s">
        <v>256</v>
      </c>
      <c r="C9" s="197">
        <f>C1*C2*C3</f>
        <v>380000</v>
      </c>
      <c r="D9" s="198">
        <f>C9</f>
        <v>380000</v>
      </c>
    </row>
    <row r="10" spans="1:4" x14ac:dyDescent="0.25">
      <c r="A10" s="705"/>
      <c r="B10" s="199" t="s">
        <v>257</v>
      </c>
      <c r="C10" s="200">
        <f>C1*C2*C7</f>
        <v>370000</v>
      </c>
      <c r="D10" s="201">
        <f>C1*C2*D7</f>
        <v>385000</v>
      </c>
    </row>
    <row r="11" spans="1:4" x14ac:dyDescent="0.25">
      <c r="A11" s="705"/>
      <c r="B11" s="202" t="s">
        <v>59</v>
      </c>
      <c r="C11" s="203">
        <f>(C8-$C$4)*$C$1*$C$2</f>
        <v>14999.999999999991</v>
      </c>
      <c r="D11" s="204">
        <f>(D8-$C$4)*$C$1*$C$2</f>
        <v>-50000</v>
      </c>
    </row>
    <row r="12" spans="1:4" x14ac:dyDescent="0.25">
      <c r="A12" s="705"/>
      <c r="B12" s="205" t="s">
        <v>13</v>
      </c>
      <c r="C12" s="206">
        <f>C7*$C$1*$C$2</f>
        <v>370000</v>
      </c>
      <c r="D12" s="207">
        <f>D7*$C$1*$C$2</f>
        <v>385000</v>
      </c>
    </row>
    <row r="13" spans="1:4" x14ac:dyDescent="0.25">
      <c r="A13" s="706"/>
      <c r="B13" s="205" t="s">
        <v>258</v>
      </c>
      <c r="C13" s="206">
        <f>C12-C11</f>
        <v>355000</v>
      </c>
      <c r="D13" s="207">
        <f>D12-D11</f>
        <v>435000</v>
      </c>
    </row>
    <row r="15" spans="1:4" x14ac:dyDescent="0.25">
      <c r="A15" s="86" t="s">
        <v>131</v>
      </c>
      <c r="B15" s="86" t="s">
        <v>259</v>
      </c>
    </row>
    <row r="16" spans="1:4" x14ac:dyDescent="0.25">
      <c r="A16" s="208" t="s">
        <v>260</v>
      </c>
      <c r="B16" s="208" t="s">
        <v>261</v>
      </c>
    </row>
    <row r="17" spans="1:2" x14ac:dyDescent="0.25">
      <c r="B17" s="208" t="s">
        <v>262</v>
      </c>
    </row>
    <row r="18" spans="1:2" x14ac:dyDescent="0.25">
      <c r="A18" s="209" t="s">
        <v>263</v>
      </c>
      <c r="B18" s="209"/>
    </row>
    <row r="19" spans="1:2" x14ac:dyDescent="0.25">
      <c r="B19" s="209" t="s">
        <v>264</v>
      </c>
    </row>
    <row r="20" spans="1:2" x14ac:dyDescent="0.25">
      <c r="B20" s="209" t="s">
        <v>262</v>
      </c>
    </row>
  </sheetData>
  <mergeCells count="1">
    <mergeCell ref="A7:A13"/>
  </mergeCell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5487-2F23-41B1-960A-C8E4D974DAFE}">
  <dimension ref="A1:D21"/>
  <sheetViews>
    <sheetView workbookViewId="0">
      <selection activeCell="G13" sqref="G13"/>
    </sheetView>
  </sheetViews>
  <sheetFormatPr baseColWidth="10" defaultColWidth="9.21875" defaultRowHeight="13.2" x14ac:dyDescent="0.25"/>
  <cols>
    <col min="1" max="1" width="9.21875" style="68"/>
    <col min="2" max="2" width="32.6640625" style="68" bestFit="1" customWidth="1"/>
    <col min="3" max="4" width="14" style="68" bestFit="1" customWidth="1"/>
    <col min="5" max="5" width="7.21875" style="68" bestFit="1" customWidth="1"/>
    <col min="6" max="6" width="10.21875" style="68" bestFit="1" customWidth="1"/>
    <col min="7" max="7" width="10" style="68" bestFit="1" customWidth="1"/>
    <col min="8" max="16384" width="9.21875" style="68"/>
  </cols>
  <sheetData>
    <row r="1" spans="1:4" x14ac:dyDescent="0.25">
      <c r="A1" s="704">
        <v>40309</v>
      </c>
      <c r="B1" s="143" t="s">
        <v>604</v>
      </c>
      <c r="C1" s="70">
        <v>20</v>
      </c>
    </row>
    <row r="2" spans="1:4" x14ac:dyDescent="0.25">
      <c r="A2" s="705"/>
      <c r="B2" s="146" t="s">
        <v>605</v>
      </c>
      <c r="C2" s="80">
        <v>1000</v>
      </c>
    </row>
    <row r="3" spans="1:4" x14ac:dyDescent="0.25">
      <c r="A3" s="705"/>
      <c r="B3" s="146" t="s">
        <v>9</v>
      </c>
      <c r="C3" s="2">
        <v>79</v>
      </c>
    </row>
    <row r="4" spans="1:4" x14ac:dyDescent="0.25">
      <c r="A4" s="706"/>
      <c r="B4" s="149" t="s">
        <v>606</v>
      </c>
      <c r="C4" s="4">
        <v>85</v>
      </c>
    </row>
    <row r="6" spans="1:4" x14ac:dyDescent="0.25">
      <c r="A6" s="195"/>
      <c r="C6" s="69" t="s">
        <v>7</v>
      </c>
      <c r="D6" s="178" t="s">
        <v>8</v>
      </c>
    </row>
    <row r="7" spans="1:4" x14ac:dyDescent="0.25">
      <c r="A7" s="704">
        <v>40461</v>
      </c>
      <c r="B7" s="71" t="s">
        <v>9</v>
      </c>
      <c r="C7" s="2">
        <v>90</v>
      </c>
      <c r="D7" s="5">
        <v>85</v>
      </c>
    </row>
    <row r="8" spans="1:4" x14ac:dyDescent="0.25">
      <c r="A8" s="705"/>
      <c r="B8" s="138" t="s">
        <v>606</v>
      </c>
      <c r="C8" s="2">
        <v>95</v>
      </c>
      <c r="D8" s="5">
        <v>92</v>
      </c>
    </row>
    <row r="9" spans="1:4" x14ac:dyDescent="0.25">
      <c r="A9" s="705"/>
      <c r="B9" s="210" t="s">
        <v>607</v>
      </c>
      <c r="C9" s="568">
        <f>$C$1*$C$2*C3</f>
        <v>1580000</v>
      </c>
      <c r="D9" s="568">
        <f>$C$1*$C$2*C3</f>
        <v>1580000</v>
      </c>
    </row>
    <row r="10" spans="1:4" x14ac:dyDescent="0.25">
      <c r="A10" s="705"/>
      <c r="B10" s="199" t="s">
        <v>608</v>
      </c>
      <c r="C10" s="200">
        <f>C1*C2*C7</f>
        <v>1800000</v>
      </c>
      <c r="D10" s="201">
        <f>C1*C2*D7</f>
        <v>1700000</v>
      </c>
    </row>
    <row r="11" spans="1:4" x14ac:dyDescent="0.25">
      <c r="A11" s="705"/>
      <c r="B11" s="202" t="s">
        <v>609</v>
      </c>
      <c r="C11" s="203">
        <f>($C$4-C8)*$C$1*$C$2</f>
        <v>-200000</v>
      </c>
      <c r="D11" s="204">
        <f>($C$4-D8)*$C$1*$C$2</f>
        <v>-140000</v>
      </c>
    </row>
    <row r="12" spans="1:4" x14ac:dyDescent="0.25">
      <c r="A12" s="705"/>
      <c r="B12" s="205" t="s">
        <v>610</v>
      </c>
      <c r="C12" s="206">
        <f>C7*$C$1*$C$2</f>
        <v>1800000</v>
      </c>
      <c r="D12" s="207">
        <f>D7*$C$1*$C$2</f>
        <v>1700000</v>
      </c>
    </row>
    <row r="13" spans="1:4" x14ac:dyDescent="0.25">
      <c r="A13" s="706"/>
      <c r="B13" s="205" t="s">
        <v>611</v>
      </c>
      <c r="C13" s="206">
        <f>C12+C11</f>
        <v>1600000</v>
      </c>
      <c r="D13" s="207">
        <f>D12+D11</f>
        <v>1560000</v>
      </c>
    </row>
    <row r="16" spans="1:4" x14ac:dyDescent="0.25">
      <c r="A16" s="86" t="s">
        <v>131</v>
      </c>
      <c r="B16" s="86" t="s">
        <v>612</v>
      </c>
    </row>
    <row r="17" spans="1:2" x14ac:dyDescent="0.25">
      <c r="A17" s="208" t="s">
        <v>260</v>
      </c>
      <c r="B17" s="208" t="s">
        <v>613</v>
      </c>
    </row>
    <row r="18" spans="1:2" x14ac:dyDescent="0.25">
      <c r="B18" s="208" t="s">
        <v>614</v>
      </c>
    </row>
    <row r="19" spans="1:2" x14ac:dyDescent="0.25">
      <c r="A19" s="209" t="s">
        <v>615</v>
      </c>
      <c r="B19" s="209" t="s">
        <v>616</v>
      </c>
    </row>
    <row r="20" spans="1:2" x14ac:dyDescent="0.25">
      <c r="B20" s="209" t="s">
        <v>617</v>
      </c>
    </row>
    <row r="21" spans="1:2" x14ac:dyDescent="0.25">
      <c r="B21" s="209" t="s">
        <v>614</v>
      </c>
    </row>
  </sheetData>
  <mergeCells count="2">
    <mergeCell ref="A1:A4"/>
    <mergeCell ref="A7:A13"/>
  </mergeCell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217C3-D765-4C05-995C-D94A2BD826F5}">
  <dimension ref="A1:N25"/>
  <sheetViews>
    <sheetView topLeftCell="A6" workbookViewId="0">
      <selection activeCell="A2" sqref="A2"/>
    </sheetView>
  </sheetViews>
  <sheetFormatPr baseColWidth="10" defaultColWidth="9.21875" defaultRowHeight="13.2" x14ac:dyDescent="0.25"/>
  <cols>
    <col min="1" max="1" width="32.44140625" style="68" bestFit="1" customWidth="1"/>
    <col min="2" max="2" width="41.5546875" style="68" customWidth="1"/>
    <col min="3" max="3" width="23.5546875" style="68" bestFit="1" customWidth="1"/>
    <col min="4" max="4" width="20.77734375" style="68" bestFit="1" customWidth="1"/>
    <col min="5" max="14" width="16.77734375" style="68" bestFit="1" customWidth="1"/>
    <col min="15" max="16384" width="9.21875" style="68"/>
  </cols>
  <sheetData>
    <row r="1" spans="1:14" x14ac:dyDescent="0.25">
      <c r="A1" s="77" t="s">
        <v>137</v>
      </c>
      <c r="B1" s="124">
        <f>DATE(2026,1,3)</f>
        <v>46025</v>
      </c>
    </row>
    <row r="2" spans="1:14" x14ac:dyDescent="0.25">
      <c r="A2" s="77" t="s">
        <v>265</v>
      </c>
      <c r="B2" s="131">
        <v>1.401</v>
      </c>
      <c r="C2" s="68" t="s">
        <v>266</v>
      </c>
    </row>
    <row r="3" spans="1:14" x14ac:dyDescent="0.25">
      <c r="A3" s="77" t="s">
        <v>281</v>
      </c>
      <c r="B3" s="131">
        <v>1.4205000000000001</v>
      </c>
      <c r="C3" s="68" t="s">
        <v>266</v>
      </c>
    </row>
    <row r="4" spans="1:14" x14ac:dyDescent="0.25">
      <c r="A4" s="77" t="s">
        <v>282</v>
      </c>
      <c r="B4" s="131">
        <v>1.41</v>
      </c>
      <c r="C4" s="68" t="s">
        <v>266</v>
      </c>
    </row>
    <row r="5" spans="1:14" x14ac:dyDescent="0.25">
      <c r="A5" s="77" t="s">
        <v>267</v>
      </c>
      <c r="B5" s="19">
        <v>100000000</v>
      </c>
      <c r="C5" s="68" t="s">
        <v>268</v>
      </c>
    </row>
    <row r="6" spans="1:14" ht="13.8" thickBot="1" x14ac:dyDescent="0.3"/>
    <row r="7" spans="1:14" x14ac:dyDescent="0.25">
      <c r="A7" s="708" t="s">
        <v>131</v>
      </c>
      <c r="B7" s="710" t="s">
        <v>269</v>
      </c>
      <c r="C7" s="711"/>
    </row>
    <row r="8" spans="1:14" ht="13.8" thickBot="1" x14ac:dyDescent="0.3">
      <c r="A8" s="709"/>
      <c r="B8" s="211" t="s">
        <v>270</v>
      </c>
      <c r="C8" s="212">
        <f>B5/B2</f>
        <v>71377587.437544614</v>
      </c>
    </row>
    <row r="9" spans="1:14" x14ac:dyDescent="0.25">
      <c r="A9" s="712" t="s">
        <v>132</v>
      </c>
      <c r="B9" s="713" t="s">
        <v>271</v>
      </c>
      <c r="C9" s="713"/>
    </row>
    <row r="10" spans="1:14" x14ac:dyDescent="0.25">
      <c r="A10" s="712"/>
      <c r="B10" s="703" t="s">
        <v>272</v>
      </c>
      <c r="C10" s="703"/>
    </row>
    <row r="11" spans="1:14" x14ac:dyDescent="0.25">
      <c r="A11" s="712"/>
      <c r="B11" s="703" t="s">
        <v>273</v>
      </c>
      <c r="C11" s="703"/>
    </row>
    <row r="12" spans="1:14" x14ac:dyDescent="0.25">
      <c r="A12" s="712"/>
      <c r="B12" s="69" t="s">
        <v>274</v>
      </c>
      <c r="C12" s="213">
        <f>100000000/B3</f>
        <v>70397747.272087291</v>
      </c>
      <c r="E12" s="703" t="s">
        <v>275</v>
      </c>
      <c r="F12" s="703"/>
      <c r="G12" s="703"/>
      <c r="H12" s="703"/>
      <c r="I12" s="703"/>
      <c r="J12" s="703"/>
      <c r="K12" s="703"/>
      <c r="L12" s="703"/>
      <c r="M12" s="703"/>
      <c r="N12" s="703"/>
    </row>
    <row r="13" spans="1:14" x14ac:dyDescent="0.25">
      <c r="A13" s="712"/>
      <c r="B13" s="69" t="s">
        <v>280</v>
      </c>
      <c r="C13" s="69" t="s">
        <v>276</v>
      </c>
      <c r="D13" s="77" t="s">
        <v>277</v>
      </c>
      <c r="E13" s="131">
        <f>B14</f>
        <v>1.3955</v>
      </c>
      <c r="F13" s="131">
        <f>B15</f>
        <v>1.4004999999999999</v>
      </c>
      <c r="G13" s="131">
        <f>B16</f>
        <v>1.4054999999999997</v>
      </c>
      <c r="H13" s="131">
        <f>B17</f>
        <v>1.4104999999999996</v>
      </c>
      <c r="I13" s="131">
        <f>B18</f>
        <v>1.4154999999999995</v>
      </c>
      <c r="J13" s="131">
        <f>B19</f>
        <v>1.4204999999999994</v>
      </c>
      <c r="K13" s="131">
        <f>B20</f>
        <v>1.4254999999999993</v>
      </c>
      <c r="L13" s="131">
        <f>B21</f>
        <v>1.4304999999999992</v>
      </c>
      <c r="M13" s="131">
        <f>B22</f>
        <v>1.4354999999999991</v>
      </c>
      <c r="N13" s="131">
        <f>B23</f>
        <v>1.440499999999999</v>
      </c>
    </row>
    <row r="14" spans="1:14" x14ac:dyDescent="0.25">
      <c r="A14" s="712"/>
      <c r="B14" s="182">
        <v>1.3955</v>
      </c>
      <c r="C14" s="214">
        <f t="shared" ref="C14:C23" si="0">(B14-$B$3)*$C$12</f>
        <v>-1759943.6818021915</v>
      </c>
      <c r="D14" s="214">
        <f>$B$5-C14</f>
        <v>101759943.6818022</v>
      </c>
      <c r="E14" s="215">
        <f>$D14/E$13</f>
        <v>72920059.965461984</v>
      </c>
      <c r="F14" s="215">
        <f t="shared" ref="F14:N23" si="1">$D14/F$13</f>
        <v>72659724.156945527</v>
      </c>
      <c r="G14" s="215">
        <f t="shared" si="1"/>
        <v>72401240.613164157</v>
      </c>
      <c r="H14" s="215">
        <f t="shared" si="1"/>
        <v>72144589.636158973</v>
      </c>
      <c r="I14" s="215">
        <f t="shared" si="1"/>
        <v>71889751.806289107</v>
      </c>
      <c r="J14" s="215">
        <f t="shared" si="1"/>
        <v>71636707.977333501</v>
      </c>
      <c r="K14" s="215">
        <f t="shared" si="1"/>
        <v>71385439.271695718</v>
      </c>
      <c r="L14" s="215">
        <f t="shared" si="1"/>
        <v>71135927.075709373</v>
      </c>
      <c r="M14" s="215">
        <f t="shared" si="1"/>
        <v>70888153.03504163</v>
      </c>
      <c r="N14" s="215">
        <f t="shared" si="1"/>
        <v>70642099.050192475</v>
      </c>
    </row>
    <row r="15" spans="1:14" x14ac:dyDescent="0.25">
      <c r="A15" s="712"/>
      <c r="B15" s="127">
        <f>B14+0.005</f>
        <v>1.4004999999999999</v>
      </c>
      <c r="C15" s="216">
        <f t="shared" si="0"/>
        <v>-1407954.9454417627</v>
      </c>
      <c r="D15" s="216">
        <f t="shared" ref="D15:D23" si="2">$B$5-C15</f>
        <v>101407954.94544177</v>
      </c>
      <c r="E15" s="215">
        <f t="shared" ref="E15:E23" si="3">$D15/E$13</f>
        <v>72667828.696124524</v>
      </c>
      <c r="F15" s="215">
        <f t="shared" si="1"/>
        <v>72408393.391961277</v>
      </c>
      <c r="G15" s="215">
        <f t="shared" si="1"/>
        <v>72150803.94552955</v>
      </c>
      <c r="H15" s="215">
        <f t="shared" si="1"/>
        <v>71895040.727005884</v>
      </c>
      <c r="I15" s="215">
        <f t="shared" si="1"/>
        <v>71641084.383922145</v>
      </c>
      <c r="J15" s="215">
        <f t="shared" si="1"/>
        <v>71388915.836284265</v>
      </c>
      <c r="K15" s="215">
        <f t="shared" si="1"/>
        <v>71138516.271793634</v>
      </c>
      <c r="L15" s="215">
        <f t="shared" si="1"/>
        <v>70889867.141168699</v>
      </c>
      <c r="M15" s="215">
        <f t="shared" si="1"/>
        <v>70642950.153564498</v>
      </c>
      <c r="N15" s="217">
        <f t="shared" si="1"/>
        <v>70397747.27208735</v>
      </c>
    </row>
    <row r="16" spans="1:14" x14ac:dyDescent="0.25">
      <c r="A16" s="712"/>
      <c r="B16" s="127">
        <f t="shared" ref="B16:B23" si="4">B15+0.005</f>
        <v>1.4054999999999997</v>
      </c>
      <c r="C16" s="216">
        <f t="shared" si="0"/>
        <v>-1055966.2090813338</v>
      </c>
      <c r="D16" s="216">
        <f t="shared" si="2"/>
        <v>101055966.20908134</v>
      </c>
      <c r="E16" s="215">
        <f t="shared" si="3"/>
        <v>72415597.426787063</v>
      </c>
      <c r="F16" s="215">
        <f t="shared" si="1"/>
        <v>72157062.626977041</v>
      </c>
      <c r="G16" s="215">
        <f t="shared" si="1"/>
        <v>71900367.277894959</v>
      </c>
      <c r="H16" s="215">
        <f t="shared" si="1"/>
        <v>71645491.817852795</v>
      </c>
      <c r="I16" s="215">
        <f t="shared" si="1"/>
        <v>71392416.961555183</v>
      </c>
      <c r="J16" s="215">
        <f t="shared" si="1"/>
        <v>71141123.695235044</v>
      </c>
      <c r="K16" s="215">
        <f t="shared" si="1"/>
        <v>70891593.271891534</v>
      </c>
      <c r="L16" s="215">
        <f t="shared" si="1"/>
        <v>70643807.206628025</v>
      </c>
      <c r="M16" s="217">
        <f t="shared" si="1"/>
        <v>70397747.27208735</v>
      </c>
      <c r="N16" s="215">
        <f t="shared" si="1"/>
        <v>70153395.493982226</v>
      </c>
    </row>
    <row r="17" spans="1:14" x14ac:dyDescent="0.25">
      <c r="A17" s="712"/>
      <c r="B17" s="127">
        <f t="shared" si="4"/>
        <v>1.4104999999999996</v>
      </c>
      <c r="C17" s="216">
        <f t="shared" si="0"/>
        <v>-703977.47272090474</v>
      </c>
      <c r="D17" s="216">
        <f t="shared" si="2"/>
        <v>100703977.47272091</v>
      </c>
      <c r="E17" s="215">
        <f t="shared" si="3"/>
        <v>72163366.157449588</v>
      </c>
      <c r="F17" s="215">
        <f t="shared" si="1"/>
        <v>71905731.861992806</v>
      </c>
      <c r="G17" s="215">
        <f t="shared" si="1"/>
        <v>71649930.610260352</v>
      </c>
      <c r="H17" s="215">
        <f t="shared" si="1"/>
        <v>71395942.908699706</v>
      </c>
      <c r="I17" s="215">
        <f t="shared" si="1"/>
        <v>71143749.539188236</v>
      </c>
      <c r="J17" s="215">
        <f t="shared" si="1"/>
        <v>70893331.554185808</v>
      </c>
      <c r="K17" s="215">
        <f t="shared" si="1"/>
        <v>70644670.27198945</v>
      </c>
      <c r="L17" s="217">
        <f t="shared" si="1"/>
        <v>70397747.27208735</v>
      </c>
      <c r="M17" s="215">
        <f t="shared" si="1"/>
        <v>70152544.390610218</v>
      </c>
      <c r="N17" s="215">
        <f t="shared" si="1"/>
        <v>69909043.715877116</v>
      </c>
    </row>
    <row r="18" spans="1:14" x14ac:dyDescent="0.25">
      <c r="A18" s="712"/>
      <c r="B18" s="127">
        <f t="shared" si="4"/>
        <v>1.4154999999999995</v>
      </c>
      <c r="C18" s="216">
        <f t="shared" si="0"/>
        <v>-351988.73636047583</v>
      </c>
      <c r="D18" s="216">
        <f t="shared" si="2"/>
        <v>100351988.73636048</v>
      </c>
      <c r="E18" s="215">
        <f t="shared" si="3"/>
        <v>71911134.888112128</v>
      </c>
      <c r="F18" s="215">
        <f t="shared" si="1"/>
        <v>71654401.097008556</v>
      </c>
      <c r="G18" s="215">
        <f t="shared" si="1"/>
        <v>71399493.942625746</v>
      </c>
      <c r="H18" s="215">
        <f t="shared" si="1"/>
        <v>71146393.999546617</v>
      </c>
      <c r="I18" s="215">
        <f t="shared" si="1"/>
        <v>70895082.116821274</v>
      </c>
      <c r="J18" s="215">
        <f t="shared" si="1"/>
        <v>70645539.413136587</v>
      </c>
      <c r="K18" s="217">
        <f t="shared" si="1"/>
        <v>70397747.27208735</v>
      </c>
      <c r="L18" s="215">
        <f t="shared" si="1"/>
        <v>70151687.337546676</v>
      </c>
      <c r="M18" s="215">
        <f t="shared" si="1"/>
        <v>69907341.509133086</v>
      </c>
      <c r="N18" s="215">
        <f t="shared" si="1"/>
        <v>69664691.937771991</v>
      </c>
    </row>
    <row r="19" spans="1:14" x14ac:dyDescent="0.25">
      <c r="A19" s="712"/>
      <c r="B19" s="127">
        <f t="shared" si="4"/>
        <v>1.4204999999999994</v>
      </c>
      <c r="C19" s="216">
        <f t="shared" si="0"/>
        <v>-4.6894319941928472E-8</v>
      </c>
      <c r="D19" s="216">
        <f t="shared" si="2"/>
        <v>100000000.00000004</v>
      </c>
      <c r="E19" s="215">
        <f t="shared" si="3"/>
        <v>71658903.618774667</v>
      </c>
      <c r="F19" s="215">
        <f t="shared" si="1"/>
        <v>71403070.332024321</v>
      </c>
      <c r="G19" s="215">
        <f t="shared" si="1"/>
        <v>71149057.274991155</v>
      </c>
      <c r="H19" s="215">
        <f t="shared" si="1"/>
        <v>70896845.090393528</v>
      </c>
      <c r="I19" s="215">
        <f t="shared" si="1"/>
        <v>70646414.694454312</v>
      </c>
      <c r="J19" s="217">
        <f t="shared" si="1"/>
        <v>70397747.27208735</v>
      </c>
      <c r="K19" s="215">
        <f t="shared" si="1"/>
        <v>70150824.272185266</v>
      </c>
      <c r="L19" s="215">
        <f t="shared" si="1"/>
        <v>69905627.403006017</v>
      </c>
      <c r="M19" s="215">
        <f t="shared" si="1"/>
        <v>69662138.627655938</v>
      </c>
      <c r="N19" s="215">
        <f t="shared" si="1"/>
        <v>69420340.159666866</v>
      </c>
    </row>
    <row r="20" spans="1:14" x14ac:dyDescent="0.25">
      <c r="A20" s="712"/>
      <c r="B20" s="127">
        <f t="shared" si="4"/>
        <v>1.4254999999999993</v>
      </c>
      <c r="C20" s="216">
        <f t="shared" si="0"/>
        <v>351988.73636038206</v>
      </c>
      <c r="D20" s="216">
        <f t="shared" si="2"/>
        <v>99648011.263639614</v>
      </c>
      <c r="E20" s="215">
        <f t="shared" si="3"/>
        <v>71406672.349437207</v>
      </c>
      <c r="F20" s="215">
        <f t="shared" si="1"/>
        <v>71151739.567040071</v>
      </c>
      <c r="G20" s="215">
        <f t="shared" si="1"/>
        <v>70898620.607356548</v>
      </c>
      <c r="H20" s="215">
        <f t="shared" si="1"/>
        <v>70647296.181240439</v>
      </c>
      <c r="I20" s="217">
        <f t="shared" si="1"/>
        <v>70397747.27208735</v>
      </c>
      <c r="J20" s="215">
        <f t="shared" si="1"/>
        <v>70149955.131038129</v>
      </c>
      <c r="K20" s="215">
        <f t="shared" si="1"/>
        <v>69903901.272283167</v>
      </c>
      <c r="L20" s="215">
        <f t="shared" si="1"/>
        <v>69659567.468465343</v>
      </c>
      <c r="M20" s="215">
        <f t="shared" si="1"/>
        <v>69416935.746178806</v>
      </c>
      <c r="N20" s="215">
        <f t="shared" si="1"/>
        <v>69175988.381561741</v>
      </c>
    </row>
    <row r="21" spans="1:14" x14ac:dyDescent="0.25">
      <c r="A21" s="712"/>
      <c r="B21" s="127">
        <f t="shared" si="4"/>
        <v>1.4304999999999992</v>
      </c>
      <c r="C21" s="216">
        <f t="shared" si="0"/>
        <v>703977.47272081103</v>
      </c>
      <c r="D21" s="216">
        <f t="shared" si="2"/>
        <v>99296022.527279183</v>
      </c>
      <c r="E21" s="215">
        <f t="shared" si="3"/>
        <v>71154441.080099732</v>
      </c>
      <c r="F21" s="215">
        <f t="shared" si="1"/>
        <v>70900408.802055836</v>
      </c>
      <c r="G21" s="215">
        <f t="shared" si="1"/>
        <v>70648183.939721957</v>
      </c>
      <c r="H21" s="217">
        <f t="shared" si="1"/>
        <v>70397747.27208735</v>
      </c>
      <c r="I21" s="215">
        <f t="shared" si="1"/>
        <v>70149079.849720389</v>
      </c>
      <c r="J21" s="215">
        <f t="shared" si="1"/>
        <v>69902162.989988893</v>
      </c>
      <c r="K21" s="215">
        <f t="shared" si="1"/>
        <v>69656978.272381082</v>
      </c>
      <c r="L21" s="215">
        <f t="shared" si="1"/>
        <v>69413507.533924669</v>
      </c>
      <c r="M21" s="215">
        <f t="shared" si="1"/>
        <v>69171732.864701673</v>
      </c>
      <c r="N21" s="215">
        <f t="shared" si="1"/>
        <v>68931636.603456616</v>
      </c>
    </row>
    <row r="22" spans="1:14" x14ac:dyDescent="0.25">
      <c r="A22" s="712"/>
      <c r="B22" s="127">
        <f t="shared" si="4"/>
        <v>1.4354999999999991</v>
      </c>
      <c r="C22" s="216">
        <f t="shared" si="0"/>
        <v>1055966.20908124</v>
      </c>
      <c r="D22" s="216">
        <f t="shared" si="2"/>
        <v>98944033.790918767</v>
      </c>
      <c r="E22" s="215">
        <f t="shared" si="3"/>
        <v>70902209.810762286</v>
      </c>
      <c r="F22" s="215">
        <f t="shared" si="1"/>
        <v>70649078.037071601</v>
      </c>
      <c r="G22" s="217">
        <f t="shared" si="1"/>
        <v>70397747.272087365</v>
      </c>
      <c r="H22" s="215">
        <f t="shared" si="1"/>
        <v>70148198.362934276</v>
      </c>
      <c r="I22" s="215">
        <f t="shared" si="1"/>
        <v>69900412.427353442</v>
      </c>
      <c r="J22" s="215">
        <f t="shared" si="1"/>
        <v>69654370.848939672</v>
      </c>
      <c r="K22" s="215">
        <f t="shared" si="1"/>
        <v>69410055.272478998</v>
      </c>
      <c r="L22" s="215">
        <f t="shared" si="1"/>
        <v>69167447.59938401</v>
      </c>
      <c r="M22" s="215">
        <f t="shared" si="1"/>
        <v>68926529.983224541</v>
      </c>
      <c r="N22" s="215">
        <f t="shared" si="1"/>
        <v>68687284.825351506</v>
      </c>
    </row>
    <row r="23" spans="1:14" ht="13.8" thickBot="1" x14ac:dyDescent="0.3">
      <c r="A23" s="712"/>
      <c r="B23" s="127">
        <f t="shared" si="4"/>
        <v>1.440499999999999</v>
      </c>
      <c r="C23" s="216">
        <f t="shared" si="0"/>
        <v>1407954.9454416689</v>
      </c>
      <c r="D23" s="216">
        <f t="shared" si="2"/>
        <v>98592045.054558337</v>
      </c>
      <c r="E23" s="218">
        <f t="shared" si="3"/>
        <v>70649978.541424826</v>
      </c>
      <c r="F23" s="219">
        <f t="shared" si="1"/>
        <v>70397747.272087365</v>
      </c>
      <c r="G23" s="218">
        <f t="shared" si="1"/>
        <v>70147310.604452759</v>
      </c>
      <c r="H23" s="218">
        <f t="shared" si="1"/>
        <v>69898649.453781188</v>
      </c>
      <c r="I23" s="218">
        <f t="shared" si="1"/>
        <v>69651745.00498648</v>
      </c>
      <c r="J23" s="218">
        <f t="shared" si="1"/>
        <v>69406578.707890451</v>
      </c>
      <c r="K23" s="218">
        <f t="shared" si="1"/>
        <v>69163132.272576913</v>
      </c>
      <c r="L23" s="218">
        <f t="shared" si="1"/>
        <v>68921387.664843336</v>
      </c>
      <c r="M23" s="218">
        <f t="shared" si="1"/>
        <v>68681327.101747409</v>
      </c>
      <c r="N23" s="218">
        <f t="shared" si="1"/>
        <v>68442933.047246382</v>
      </c>
    </row>
    <row r="24" spans="1:14" ht="13.8" thickBot="1" x14ac:dyDescent="0.3">
      <c r="A24" s="220" t="s">
        <v>278</v>
      </c>
      <c r="B24" s="707" t="s">
        <v>283</v>
      </c>
      <c r="C24" s="707"/>
      <c r="D24" s="221">
        <f>B5</f>
        <v>100000000</v>
      </c>
      <c r="E24" s="222">
        <f>$D$24/E13</f>
        <v>71658903.618774638</v>
      </c>
      <c r="F24" s="222">
        <f t="shared" ref="F24:N24" si="5">$D$24/F13</f>
        <v>71403070.332024291</v>
      </c>
      <c r="G24" s="222">
        <f t="shared" si="5"/>
        <v>71149057.274991125</v>
      </c>
      <c r="H24" s="222">
        <f t="shared" si="5"/>
        <v>70896845.090393499</v>
      </c>
      <c r="I24" s="222">
        <f t="shared" si="5"/>
        <v>70646414.694454283</v>
      </c>
      <c r="J24" s="223">
        <f t="shared" si="5"/>
        <v>70397747.272087321</v>
      </c>
      <c r="K24" s="222">
        <f t="shared" si="5"/>
        <v>70150824.272185236</v>
      </c>
      <c r="L24" s="222">
        <f t="shared" si="5"/>
        <v>69905627.403005987</v>
      </c>
      <c r="M24" s="222">
        <f t="shared" si="5"/>
        <v>69662138.627655908</v>
      </c>
      <c r="N24" s="224">
        <f t="shared" si="5"/>
        <v>69420340.159666836</v>
      </c>
    </row>
    <row r="25" spans="1:14" ht="13.8" thickBot="1" x14ac:dyDescent="0.3">
      <c r="A25" s="225" t="s">
        <v>279</v>
      </c>
      <c r="B25" s="226" t="s">
        <v>284</v>
      </c>
      <c r="C25" s="227">
        <f>B5/B4</f>
        <v>70921985.815602839</v>
      </c>
    </row>
  </sheetData>
  <mergeCells count="8">
    <mergeCell ref="E12:N12"/>
    <mergeCell ref="B24:C24"/>
    <mergeCell ref="A7:A8"/>
    <mergeCell ref="B7:C7"/>
    <mergeCell ref="A9:A23"/>
    <mergeCell ref="B9:C9"/>
    <mergeCell ref="B10:C10"/>
    <mergeCell ref="B11:C11"/>
  </mergeCells>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07B3-9693-4DA7-B3A2-810E3E584AA8}">
  <dimension ref="A1:AK134"/>
  <sheetViews>
    <sheetView zoomScale="110" zoomScaleNormal="110" workbookViewId="0">
      <selection activeCell="D6" sqref="D6"/>
    </sheetView>
  </sheetViews>
  <sheetFormatPr baseColWidth="10" defaultColWidth="9.21875" defaultRowHeight="13.2" x14ac:dyDescent="0.25"/>
  <cols>
    <col min="1" max="2" width="9.21875" style="42"/>
    <col min="3" max="3" width="10.33203125" style="42" bestFit="1" customWidth="1"/>
    <col min="4" max="25" width="9.21875" style="42"/>
    <col min="26" max="26" width="20.44140625" style="42" bestFit="1" customWidth="1"/>
    <col min="27" max="32" width="9.21875" style="42"/>
    <col min="33" max="33" width="12.44140625" style="42" bestFit="1" customWidth="1"/>
    <col min="34" max="34" width="20.21875" style="42" bestFit="1" customWidth="1"/>
    <col min="35" max="16384" width="9.21875" style="42"/>
  </cols>
  <sheetData>
    <row r="1" spans="1:37" x14ac:dyDescent="0.25">
      <c r="C1" s="43" t="s">
        <v>114</v>
      </c>
      <c r="D1" s="702" t="s">
        <v>115</v>
      </c>
      <c r="E1" s="702"/>
      <c r="F1" s="702"/>
    </row>
    <row r="2" spans="1:37" x14ac:dyDescent="0.25">
      <c r="D2" s="46" t="s">
        <v>111</v>
      </c>
      <c r="E2" s="46" t="s">
        <v>119</v>
      </c>
      <c r="F2" s="46" t="s">
        <v>117</v>
      </c>
    </row>
    <row r="3" spans="1:37" x14ac:dyDescent="0.25">
      <c r="D3" s="46" t="s">
        <v>112</v>
      </c>
      <c r="E3" s="46" t="s">
        <v>113</v>
      </c>
      <c r="F3" s="46">
        <v>100</v>
      </c>
      <c r="Z3" s="714" t="s">
        <v>89</v>
      </c>
      <c r="AA3" s="724" t="str">
        <f>AI5</f>
        <v>P</v>
      </c>
      <c r="AB3" s="724" t="str">
        <f>AJ5</f>
        <v>C</v>
      </c>
      <c r="AC3" s="724" t="s">
        <v>118</v>
      </c>
      <c r="AD3" s="723" t="s">
        <v>90</v>
      </c>
      <c r="AI3" s="43" t="s">
        <v>91</v>
      </c>
      <c r="AJ3" s="43" t="s">
        <v>92</v>
      </c>
      <c r="AK3" s="43" t="s">
        <v>93</v>
      </c>
    </row>
    <row r="4" spans="1:37" x14ac:dyDescent="0.25">
      <c r="D4" s="46" t="s">
        <v>125</v>
      </c>
      <c r="E4" s="46" t="s">
        <v>116</v>
      </c>
      <c r="F4" s="46">
        <v>100</v>
      </c>
      <c r="Z4" s="716"/>
      <c r="AA4" s="725"/>
      <c r="AB4" s="725"/>
      <c r="AC4" s="725"/>
      <c r="AD4" s="723"/>
      <c r="AG4" s="714" t="s">
        <v>94</v>
      </c>
      <c r="AH4" s="45" t="s">
        <v>95</v>
      </c>
      <c r="AI4" s="702">
        <v>100</v>
      </c>
      <c r="AJ4" s="702"/>
      <c r="AK4" s="702"/>
    </row>
    <row r="5" spans="1:37" x14ac:dyDescent="0.25">
      <c r="D5" s="46" t="s">
        <v>112</v>
      </c>
      <c r="E5" s="46" t="s">
        <v>120</v>
      </c>
      <c r="F5" s="46">
        <v>100</v>
      </c>
      <c r="Z5" s="47" t="s">
        <v>96</v>
      </c>
      <c r="AA5" s="717"/>
      <c r="AB5" s="717"/>
      <c r="AC5" s="718"/>
      <c r="AD5" s="714"/>
      <c r="AG5" s="715"/>
      <c r="AH5" s="50" t="s">
        <v>97</v>
      </c>
      <c r="AI5" s="46" t="s">
        <v>98</v>
      </c>
      <c r="AJ5" s="46" t="s">
        <v>99</v>
      </c>
      <c r="AK5" s="46" t="s">
        <v>118</v>
      </c>
    </row>
    <row r="6" spans="1:37" x14ac:dyDescent="0.25">
      <c r="D6" s="46" t="s">
        <v>121</v>
      </c>
      <c r="E6" s="46" t="s">
        <v>122</v>
      </c>
      <c r="Z6" s="51">
        <v>0</v>
      </c>
      <c r="AA6" s="52">
        <f>(MAX(IF($AA$3="C",1,-1)*(Z6-$AI$7),0)-IF($AI$12="Y",$AI$15,0))*$AI$6</f>
        <v>-100</v>
      </c>
      <c r="AB6" s="45">
        <f>(MAX(IF($AB$3="C",1,-1)*(Z6-$AJ$7),0)-IF($AI$12="Y",$AJ$15,0))*$AJ$6</f>
        <v>0</v>
      </c>
      <c r="AC6" s="48">
        <f>(Z6-$AK$7)*$AK$6</f>
        <v>-100</v>
      </c>
      <c r="AD6" s="53">
        <f>SUM(AA6:AC6)*IF($E$6="Y",1,0)</f>
        <v>-200</v>
      </c>
      <c r="AG6" s="715"/>
      <c r="AH6" s="50" t="s">
        <v>100</v>
      </c>
      <c r="AI6" s="46">
        <f>IF(D4="Long",1,IF(D4="Short",-1,0))</f>
        <v>-1</v>
      </c>
      <c r="AJ6" s="46">
        <f>IF(D3="Long",1,IF(D3="Short",-1,0))</f>
        <v>1</v>
      </c>
      <c r="AK6" s="46">
        <f>IF(D5="Long",1,IF(D5="Short",-1,0))</f>
        <v>1</v>
      </c>
    </row>
    <row r="7" spans="1:37" x14ac:dyDescent="0.25">
      <c r="Z7" s="54">
        <f>Z6+2</f>
        <v>2</v>
      </c>
      <c r="AA7" s="55">
        <f t="shared" ref="AA7:AA70" si="0">(MAX(IF($AA$3="C",1,-1)*(Z7-$AI$7),0)-IF($AI$12="Y",$AI$15,0))*$AI$6</f>
        <v>-98</v>
      </c>
      <c r="AB7" s="56">
        <f t="shared" ref="AB7:AB70" si="1">(MAX(IF($AB$3="C",1,-1)*(Z7-$AJ$7),0)-IF($AI$12="Y",$AJ$15,0))*$AJ$6</f>
        <v>0</v>
      </c>
      <c r="AC7" s="50">
        <f t="shared" ref="AC7:AC70" si="2">(Z7-$AK$7)*$AK$6</f>
        <v>-98</v>
      </c>
      <c r="AD7" s="57">
        <f t="shared" ref="AD7:AD70" si="3">SUM(AA7:AC7)*IF($E$6="Y",1,0)</f>
        <v>-196</v>
      </c>
      <c r="AG7" s="715"/>
      <c r="AH7" s="56" t="s">
        <v>101</v>
      </c>
      <c r="AI7" s="46">
        <f>F4</f>
        <v>100</v>
      </c>
      <c r="AJ7" s="46">
        <f>F3</f>
        <v>100</v>
      </c>
      <c r="AK7" s="46">
        <f>F5</f>
        <v>100</v>
      </c>
    </row>
    <row r="8" spans="1:37" x14ac:dyDescent="0.25">
      <c r="Z8" s="54">
        <f t="shared" ref="Z8:Z71" si="4">Z7+2</f>
        <v>4</v>
      </c>
      <c r="AA8" s="55">
        <f t="shared" si="0"/>
        <v>-96</v>
      </c>
      <c r="AB8" s="56">
        <f t="shared" si="1"/>
        <v>0</v>
      </c>
      <c r="AC8" s="50">
        <f t="shared" si="2"/>
        <v>-96</v>
      </c>
      <c r="AD8" s="57">
        <f t="shared" si="3"/>
        <v>-192</v>
      </c>
      <c r="AG8" s="715"/>
      <c r="AH8" s="56" t="s">
        <v>102</v>
      </c>
      <c r="AI8" s="719">
        <v>0.05</v>
      </c>
      <c r="AJ8" s="719"/>
      <c r="AK8" s="720"/>
    </row>
    <row r="9" spans="1:37" x14ac:dyDescent="0.25">
      <c r="A9" s="42" t="s">
        <v>126</v>
      </c>
      <c r="Z9" s="54">
        <f t="shared" si="4"/>
        <v>6</v>
      </c>
      <c r="AA9" s="55">
        <f t="shared" si="0"/>
        <v>-94</v>
      </c>
      <c r="AB9" s="56">
        <f t="shared" si="1"/>
        <v>0</v>
      </c>
      <c r="AC9" s="50">
        <f t="shared" si="2"/>
        <v>-94</v>
      </c>
      <c r="AD9" s="57">
        <f t="shared" si="3"/>
        <v>-188</v>
      </c>
      <c r="AG9" s="715"/>
      <c r="AH9" s="56" t="s">
        <v>103</v>
      </c>
      <c r="AI9" s="719">
        <v>0.02</v>
      </c>
      <c r="AJ9" s="719"/>
      <c r="AK9" s="720"/>
    </row>
    <row r="10" spans="1:37" x14ac:dyDescent="0.25">
      <c r="A10" s="42" t="s">
        <v>127</v>
      </c>
      <c r="Z10" s="54">
        <f t="shared" si="4"/>
        <v>8</v>
      </c>
      <c r="AA10" s="55">
        <f t="shared" si="0"/>
        <v>-92</v>
      </c>
      <c r="AB10" s="56">
        <f t="shared" si="1"/>
        <v>0</v>
      </c>
      <c r="AC10" s="50">
        <f t="shared" si="2"/>
        <v>-92</v>
      </c>
      <c r="AD10" s="57">
        <f t="shared" si="3"/>
        <v>-184</v>
      </c>
      <c r="AG10" s="715"/>
      <c r="AH10" s="56" t="s">
        <v>104</v>
      </c>
      <c r="AI10" s="719">
        <v>0.2</v>
      </c>
      <c r="AJ10" s="719"/>
      <c r="AK10" s="720"/>
    </row>
    <row r="11" spans="1:37" x14ac:dyDescent="0.25">
      <c r="Z11" s="54">
        <f t="shared" si="4"/>
        <v>10</v>
      </c>
      <c r="AA11" s="55">
        <f t="shared" si="0"/>
        <v>-90</v>
      </c>
      <c r="AB11" s="56">
        <f t="shared" si="1"/>
        <v>0</v>
      </c>
      <c r="AC11" s="50">
        <f t="shared" si="2"/>
        <v>-90</v>
      </c>
      <c r="AD11" s="57">
        <f t="shared" si="3"/>
        <v>-180</v>
      </c>
      <c r="AG11" s="715"/>
      <c r="AH11" s="58" t="s">
        <v>105</v>
      </c>
      <c r="AI11" s="721">
        <v>1</v>
      </c>
      <c r="AJ11" s="721"/>
      <c r="AK11" s="722"/>
    </row>
    <row r="12" spans="1:37" x14ac:dyDescent="0.25">
      <c r="A12" s="42" t="s">
        <v>126</v>
      </c>
      <c r="Z12" s="54">
        <f t="shared" si="4"/>
        <v>12</v>
      </c>
      <c r="AA12" s="55">
        <f t="shared" si="0"/>
        <v>-88</v>
      </c>
      <c r="AB12" s="56">
        <f t="shared" si="1"/>
        <v>0</v>
      </c>
      <c r="AC12" s="50">
        <f t="shared" si="2"/>
        <v>-88</v>
      </c>
      <c r="AD12" s="57">
        <f t="shared" si="3"/>
        <v>-176</v>
      </c>
      <c r="AG12" s="716"/>
      <c r="AH12" s="59" t="s">
        <v>106</v>
      </c>
      <c r="AI12" s="721" t="str">
        <f>IF(D1="Payoff","N","Y")</f>
        <v>N</v>
      </c>
      <c r="AJ12" s="721"/>
      <c r="AK12" s="722"/>
    </row>
    <row r="13" spans="1:37" x14ac:dyDescent="0.25">
      <c r="A13" s="42" t="s">
        <v>128</v>
      </c>
      <c r="Z13" s="54">
        <f t="shared" si="4"/>
        <v>14</v>
      </c>
      <c r="AA13" s="55">
        <f t="shared" si="0"/>
        <v>-86</v>
      </c>
      <c r="AB13" s="56">
        <f t="shared" si="1"/>
        <v>0</v>
      </c>
      <c r="AC13" s="50">
        <f t="shared" si="2"/>
        <v>-86</v>
      </c>
      <c r="AD13" s="57">
        <f t="shared" si="3"/>
        <v>-172</v>
      </c>
      <c r="AG13" s="41" t="s">
        <v>107</v>
      </c>
      <c r="AH13" s="52" t="s">
        <v>108</v>
      </c>
      <c r="AI13" s="47">
        <f>(LN($AI$4/AI7)+(($AI$8-$AI$9+(0.5*$AI$10*$AI$10))*$AI$11))/($AI$10*SQRT($AI$11))</f>
        <v>0.25</v>
      </c>
      <c r="AJ13" s="47">
        <f t="shared" ref="AJ13:AK13" si="5">(LN($AI$4/AJ7)+(($AI$8-$AI$9+(0.5*$AI$10*$AI$10))*$AI$11))/($AI$10*SQRT($AI$11))</f>
        <v>0.25</v>
      </c>
      <c r="AK13" s="47">
        <f t="shared" si="5"/>
        <v>0.25</v>
      </c>
    </row>
    <row r="14" spans="1:37" x14ac:dyDescent="0.25">
      <c r="A14" s="42" t="s">
        <v>129</v>
      </c>
      <c r="Z14" s="54">
        <f t="shared" si="4"/>
        <v>16</v>
      </c>
      <c r="AA14" s="55">
        <f t="shared" si="0"/>
        <v>-84</v>
      </c>
      <c r="AB14" s="56">
        <f t="shared" si="1"/>
        <v>0</v>
      </c>
      <c r="AC14" s="50">
        <f t="shared" si="2"/>
        <v>-84</v>
      </c>
      <c r="AD14" s="57">
        <f t="shared" si="3"/>
        <v>-168</v>
      </c>
      <c r="AG14" s="49"/>
      <c r="AH14" s="55" t="s">
        <v>109</v>
      </c>
      <c r="AI14" s="60">
        <f>AI13-($AI$10*SQRT($AI$11))</f>
        <v>4.9999999999999989E-2</v>
      </c>
      <c r="AJ14" s="60">
        <f t="shared" ref="AJ14:AK14" si="6">AJ13-($AI$10*SQRT($AI$11))</f>
        <v>4.9999999999999989E-2</v>
      </c>
      <c r="AK14" s="60">
        <f t="shared" si="6"/>
        <v>4.9999999999999989E-2</v>
      </c>
    </row>
    <row r="15" spans="1:37" x14ac:dyDescent="0.25">
      <c r="Z15" s="54">
        <f t="shared" si="4"/>
        <v>18</v>
      </c>
      <c r="AA15" s="55">
        <f t="shared" si="0"/>
        <v>-82</v>
      </c>
      <c r="AB15" s="56">
        <f t="shared" si="1"/>
        <v>0</v>
      </c>
      <c r="AC15" s="50">
        <f t="shared" si="2"/>
        <v>-82</v>
      </c>
      <c r="AD15" s="57">
        <f t="shared" si="3"/>
        <v>-164</v>
      </c>
      <c r="AG15" s="44"/>
      <c r="AH15" s="61" t="s">
        <v>110</v>
      </c>
      <c r="AI15" s="62">
        <f>IF(AI5="C",($AI$4*EXP(-$AI$9*$AI$11)*NORMSDIST(AI13))-($AI$7*EXP(-$AI$8*$AI$11)*NORMSDIST(AI14)),(-$AI$4*EXP(-$AI$9*$AI$11)*NORMSDIST(-AI13))-(-AI7*EXP(-$AI$8*$AI$11)*NORMSDIST(-AI14)))</f>
        <v>6.3300806275499184</v>
      </c>
      <c r="AJ15" s="62">
        <f t="shared" ref="AJ15:AK15" si="7">IF(AJ5="C",($AI$4*EXP(-$AI$9*$AI$11)*NORMSDIST(AJ13))-($AI$7*EXP(-$AI$8*$AI$11)*NORMSDIST(AJ14)),(-$AI$4*EXP(-$AI$9*$AI$11)*NORMSDIST(-AJ13))-(-AJ7*EXP(-$AI$8*$AI$11)*NORMSDIST(-AJ14)))</f>
        <v>9.2270055081540363</v>
      </c>
      <c r="AK15" s="62">
        <f t="shared" si="7"/>
        <v>6.3300806275499184</v>
      </c>
    </row>
    <row r="16" spans="1:37" x14ac:dyDescent="0.25">
      <c r="Z16" s="54">
        <f t="shared" si="4"/>
        <v>20</v>
      </c>
      <c r="AA16" s="55">
        <f t="shared" si="0"/>
        <v>-80</v>
      </c>
      <c r="AB16" s="56">
        <f t="shared" si="1"/>
        <v>0</v>
      </c>
      <c r="AC16" s="50">
        <f t="shared" si="2"/>
        <v>-80</v>
      </c>
      <c r="AD16" s="57">
        <f t="shared" si="3"/>
        <v>-160</v>
      </c>
    </row>
    <row r="17" spans="26:33" x14ac:dyDescent="0.25">
      <c r="Z17" s="54">
        <f t="shared" si="4"/>
        <v>22</v>
      </c>
      <c r="AA17" s="55">
        <f t="shared" si="0"/>
        <v>-78</v>
      </c>
      <c r="AB17" s="56">
        <f t="shared" si="1"/>
        <v>0</v>
      </c>
      <c r="AC17" s="50">
        <f t="shared" si="2"/>
        <v>-78</v>
      </c>
      <c r="AD17" s="57">
        <f t="shared" si="3"/>
        <v>-156</v>
      </c>
    </row>
    <row r="18" spans="26:33" x14ac:dyDescent="0.25">
      <c r="Z18" s="54">
        <f t="shared" si="4"/>
        <v>24</v>
      </c>
      <c r="AA18" s="55">
        <f t="shared" si="0"/>
        <v>-76</v>
      </c>
      <c r="AB18" s="56">
        <f t="shared" si="1"/>
        <v>0</v>
      </c>
      <c r="AC18" s="50">
        <f t="shared" si="2"/>
        <v>-76</v>
      </c>
      <c r="AD18" s="57">
        <f t="shared" si="3"/>
        <v>-152</v>
      </c>
    </row>
    <row r="19" spans="26:33" x14ac:dyDescent="0.25">
      <c r="Z19" s="54">
        <f t="shared" si="4"/>
        <v>26</v>
      </c>
      <c r="AA19" s="55">
        <f t="shared" si="0"/>
        <v>-74</v>
      </c>
      <c r="AB19" s="56">
        <f t="shared" si="1"/>
        <v>0</v>
      </c>
      <c r="AC19" s="50">
        <f t="shared" si="2"/>
        <v>-74</v>
      </c>
      <c r="AD19" s="57">
        <f t="shared" si="3"/>
        <v>-148</v>
      </c>
    </row>
    <row r="20" spans="26:33" x14ac:dyDescent="0.25">
      <c r="Z20" s="54">
        <f t="shared" si="4"/>
        <v>28</v>
      </c>
      <c r="AA20" s="55">
        <f t="shared" si="0"/>
        <v>-72</v>
      </c>
      <c r="AB20" s="56">
        <f t="shared" si="1"/>
        <v>0</v>
      </c>
      <c r="AC20" s="50">
        <f t="shared" si="2"/>
        <v>-72</v>
      </c>
      <c r="AD20" s="57">
        <f t="shared" si="3"/>
        <v>-144</v>
      </c>
    </row>
    <row r="21" spans="26:33" x14ac:dyDescent="0.25">
      <c r="Z21" s="54">
        <f t="shared" si="4"/>
        <v>30</v>
      </c>
      <c r="AA21" s="55">
        <f t="shared" si="0"/>
        <v>-70</v>
      </c>
      <c r="AB21" s="56">
        <f t="shared" si="1"/>
        <v>0</v>
      </c>
      <c r="AC21" s="50">
        <f t="shared" si="2"/>
        <v>-70</v>
      </c>
      <c r="AD21" s="57">
        <f t="shared" si="3"/>
        <v>-140</v>
      </c>
    </row>
    <row r="22" spans="26:33" x14ac:dyDescent="0.25">
      <c r="Z22" s="54">
        <f t="shared" si="4"/>
        <v>32</v>
      </c>
      <c r="AA22" s="55">
        <f t="shared" si="0"/>
        <v>-68</v>
      </c>
      <c r="AB22" s="56">
        <f t="shared" si="1"/>
        <v>0</v>
      </c>
      <c r="AC22" s="50">
        <f t="shared" si="2"/>
        <v>-68</v>
      </c>
      <c r="AD22" s="57">
        <f t="shared" si="3"/>
        <v>-136</v>
      </c>
    </row>
    <row r="23" spans="26:33" x14ac:dyDescent="0.25">
      <c r="Z23" s="54">
        <f t="shared" si="4"/>
        <v>34</v>
      </c>
      <c r="AA23" s="55">
        <f t="shared" si="0"/>
        <v>-66</v>
      </c>
      <c r="AB23" s="56">
        <f t="shared" si="1"/>
        <v>0</v>
      </c>
      <c r="AC23" s="50">
        <f t="shared" si="2"/>
        <v>-66</v>
      </c>
      <c r="AD23" s="57">
        <f t="shared" si="3"/>
        <v>-132</v>
      </c>
    </row>
    <row r="24" spans="26:33" x14ac:dyDescent="0.25">
      <c r="Z24" s="54">
        <f t="shared" si="4"/>
        <v>36</v>
      </c>
      <c r="AA24" s="55">
        <f t="shared" si="0"/>
        <v>-64</v>
      </c>
      <c r="AB24" s="56">
        <f t="shared" si="1"/>
        <v>0</v>
      </c>
      <c r="AC24" s="50">
        <f t="shared" si="2"/>
        <v>-64</v>
      </c>
      <c r="AD24" s="57">
        <f t="shared" si="3"/>
        <v>-128</v>
      </c>
    </row>
    <row r="25" spans="26:33" x14ac:dyDescent="0.25">
      <c r="Z25" s="54">
        <f t="shared" si="4"/>
        <v>38</v>
      </c>
      <c r="AA25" s="55">
        <f t="shared" si="0"/>
        <v>-62</v>
      </c>
      <c r="AB25" s="56">
        <f t="shared" si="1"/>
        <v>0</v>
      </c>
      <c r="AC25" s="50">
        <f t="shared" si="2"/>
        <v>-62</v>
      </c>
      <c r="AD25" s="57">
        <f t="shared" si="3"/>
        <v>-124</v>
      </c>
    </row>
    <row r="26" spans="26:33" x14ac:dyDescent="0.25">
      <c r="Z26" s="54">
        <f t="shared" si="4"/>
        <v>40</v>
      </c>
      <c r="AA26" s="55">
        <f t="shared" si="0"/>
        <v>-60</v>
      </c>
      <c r="AB26" s="56">
        <f t="shared" si="1"/>
        <v>0</v>
      </c>
      <c r="AC26" s="50">
        <f t="shared" si="2"/>
        <v>-60</v>
      </c>
      <c r="AD26" s="57">
        <f t="shared" si="3"/>
        <v>-120</v>
      </c>
    </row>
    <row r="27" spans="26:33" x14ac:dyDescent="0.25">
      <c r="Z27" s="54">
        <f t="shared" si="4"/>
        <v>42</v>
      </c>
      <c r="AA27" s="55">
        <f t="shared" si="0"/>
        <v>-58</v>
      </c>
      <c r="AB27" s="56">
        <f t="shared" si="1"/>
        <v>0</v>
      </c>
      <c r="AC27" s="50">
        <f t="shared" si="2"/>
        <v>-58</v>
      </c>
      <c r="AD27" s="57">
        <f t="shared" si="3"/>
        <v>-116</v>
      </c>
      <c r="AG27" s="63"/>
    </row>
    <row r="28" spans="26:33" x14ac:dyDescent="0.25">
      <c r="Z28" s="54">
        <f t="shared" si="4"/>
        <v>44</v>
      </c>
      <c r="AA28" s="55">
        <f t="shared" si="0"/>
        <v>-56</v>
      </c>
      <c r="AB28" s="56">
        <f t="shared" si="1"/>
        <v>0</v>
      </c>
      <c r="AC28" s="50">
        <f t="shared" si="2"/>
        <v>-56</v>
      </c>
      <c r="AD28" s="57">
        <f t="shared" si="3"/>
        <v>-112</v>
      </c>
    </row>
    <row r="29" spans="26:33" x14ac:dyDescent="0.25">
      <c r="Z29" s="54">
        <f t="shared" si="4"/>
        <v>46</v>
      </c>
      <c r="AA29" s="55">
        <f t="shared" si="0"/>
        <v>-54</v>
      </c>
      <c r="AB29" s="56">
        <f t="shared" si="1"/>
        <v>0</v>
      </c>
      <c r="AC29" s="50">
        <f t="shared" si="2"/>
        <v>-54</v>
      </c>
      <c r="AD29" s="57">
        <f t="shared" si="3"/>
        <v>-108</v>
      </c>
    </row>
    <row r="30" spans="26:33" x14ac:dyDescent="0.25">
      <c r="Z30" s="54">
        <f t="shared" si="4"/>
        <v>48</v>
      </c>
      <c r="AA30" s="55">
        <f t="shared" si="0"/>
        <v>-52</v>
      </c>
      <c r="AB30" s="56">
        <f t="shared" si="1"/>
        <v>0</v>
      </c>
      <c r="AC30" s="50">
        <f t="shared" si="2"/>
        <v>-52</v>
      </c>
      <c r="AD30" s="57">
        <f t="shared" si="3"/>
        <v>-104</v>
      </c>
    </row>
    <row r="31" spans="26:33" x14ac:dyDescent="0.25">
      <c r="Z31" s="54">
        <f t="shared" si="4"/>
        <v>50</v>
      </c>
      <c r="AA31" s="55">
        <f t="shared" si="0"/>
        <v>-50</v>
      </c>
      <c r="AB31" s="56">
        <f t="shared" si="1"/>
        <v>0</v>
      </c>
      <c r="AC31" s="50">
        <f t="shared" si="2"/>
        <v>-50</v>
      </c>
      <c r="AD31" s="57">
        <f t="shared" si="3"/>
        <v>-100</v>
      </c>
    </row>
    <row r="32" spans="26:33" x14ac:dyDescent="0.25">
      <c r="Z32" s="54">
        <f t="shared" si="4"/>
        <v>52</v>
      </c>
      <c r="AA32" s="55">
        <f t="shared" si="0"/>
        <v>-48</v>
      </c>
      <c r="AB32" s="56">
        <f t="shared" si="1"/>
        <v>0</v>
      </c>
      <c r="AC32" s="50">
        <f t="shared" si="2"/>
        <v>-48</v>
      </c>
      <c r="AD32" s="57">
        <f t="shared" si="3"/>
        <v>-96</v>
      </c>
    </row>
    <row r="33" spans="26:30" x14ac:dyDescent="0.25">
      <c r="Z33" s="54">
        <f t="shared" si="4"/>
        <v>54</v>
      </c>
      <c r="AA33" s="55">
        <f t="shared" si="0"/>
        <v>-46</v>
      </c>
      <c r="AB33" s="56">
        <f t="shared" si="1"/>
        <v>0</v>
      </c>
      <c r="AC33" s="50">
        <f t="shared" si="2"/>
        <v>-46</v>
      </c>
      <c r="AD33" s="57">
        <f t="shared" si="3"/>
        <v>-92</v>
      </c>
    </row>
    <row r="34" spans="26:30" x14ac:dyDescent="0.25">
      <c r="Z34" s="54">
        <f t="shared" si="4"/>
        <v>56</v>
      </c>
      <c r="AA34" s="55">
        <f t="shared" si="0"/>
        <v>-44</v>
      </c>
      <c r="AB34" s="56">
        <f t="shared" si="1"/>
        <v>0</v>
      </c>
      <c r="AC34" s="50">
        <f t="shared" si="2"/>
        <v>-44</v>
      </c>
      <c r="AD34" s="57">
        <f t="shared" si="3"/>
        <v>-88</v>
      </c>
    </row>
    <row r="35" spans="26:30" x14ac:dyDescent="0.25">
      <c r="Z35" s="54">
        <f t="shared" si="4"/>
        <v>58</v>
      </c>
      <c r="AA35" s="55">
        <f t="shared" si="0"/>
        <v>-42</v>
      </c>
      <c r="AB35" s="56">
        <f t="shared" si="1"/>
        <v>0</v>
      </c>
      <c r="AC35" s="50">
        <f t="shared" si="2"/>
        <v>-42</v>
      </c>
      <c r="AD35" s="57">
        <f t="shared" si="3"/>
        <v>-84</v>
      </c>
    </row>
    <row r="36" spans="26:30" x14ac:dyDescent="0.25">
      <c r="Z36" s="54">
        <f t="shared" si="4"/>
        <v>60</v>
      </c>
      <c r="AA36" s="55">
        <f t="shared" si="0"/>
        <v>-40</v>
      </c>
      <c r="AB36" s="56">
        <f t="shared" si="1"/>
        <v>0</v>
      </c>
      <c r="AC36" s="50">
        <f t="shared" si="2"/>
        <v>-40</v>
      </c>
      <c r="AD36" s="57">
        <f t="shared" si="3"/>
        <v>-80</v>
      </c>
    </row>
    <row r="37" spans="26:30" x14ac:dyDescent="0.25">
      <c r="Z37" s="54">
        <f t="shared" si="4"/>
        <v>62</v>
      </c>
      <c r="AA37" s="55">
        <f t="shared" si="0"/>
        <v>-38</v>
      </c>
      <c r="AB37" s="56">
        <f t="shared" si="1"/>
        <v>0</v>
      </c>
      <c r="AC37" s="50">
        <f t="shared" si="2"/>
        <v>-38</v>
      </c>
      <c r="AD37" s="57">
        <f t="shared" si="3"/>
        <v>-76</v>
      </c>
    </row>
    <row r="38" spans="26:30" x14ac:dyDescent="0.25">
      <c r="Z38" s="54">
        <f t="shared" si="4"/>
        <v>64</v>
      </c>
      <c r="AA38" s="55">
        <f t="shared" si="0"/>
        <v>-36</v>
      </c>
      <c r="AB38" s="56">
        <f t="shared" si="1"/>
        <v>0</v>
      </c>
      <c r="AC38" s="50">
        <f t="shared" si="2"/>
        <v>-36</v>
      </c>
      <c r="AD38" s="57">
        <f t="shared" si="3"/>
        <v>-72</v>
      </c>
    </row>
    <row r="39" spans="26:30" x14ac:dyDescent="0.25">
      <c r="Z39" s="54">
        <f t="shared" si="4"/>
        <v>66</v>
      </c>
      <c r="AA39" s="55">
        <f t="shared" si="0"/>
        <v>-34</v>
      </c>
      <c r="AB39" s="56">
        <f t="shared" si="1"/>
        <v>0</v>
      </c>
      <c r="AC39" s="50">
        <f t="shared" si="2"/>
        <v>-34</v>
      </c>
      <c r="AD39" s="57">
        <f t="shared" si="3"/>
        <v>-68</v>
      </c>
    </row>
    <row r="40" spans="26:30" x14ac:dyDescent="0.25">
      <c r="Z40" s="54">
        <f t="shared" si="4"/>
        <v>68</v>
      </c>
      <c r="AA40" s="55">
        <f t="shared" si="0"/>
        <v>-32</v>
      </c>
      <c r="AB40" s="56">
        <f t="shared" si="1"/>
        <v>0</v>
      </c>
      <c r="AC40" s="50">
        <f t="shared" si="2"/>
        <v>-32</v>
      </c>
      <c r="AD40" s="57">
        <f t="shared" si="3"/>
        <v>-64</v>
      </c>
    </row>
    <row r="41" spans="26:30" x14ac:dyDescent="0.25">
      <c r="Z41" s="54">
        <f t="shared" si="4"/>
        <v>70</v>
      </c>
      <c r="AA41" s="55">
        <f t="shared" si="0"/>
        <v>-30</v>
      </c>
      <c r="AB41" s="56">
        <f t="shared" si="1"/>
        <v>0</v>
      </c>
      <c r="AC41" s="50">
        <f t="shared" si="2"/>
        <v>-30</v>
      </c>
      <c r="AD41" s="57">
        <f t="shared" si="3"/>
        <v>-60</v>
      </c>
    </row>
    <row r="42" spans="26:30" x14ac:dyDescent="0.25">
      <c r="Z42" s="54">
        <f t="shared" si="4"/>
        <v>72</v>
      </c>
      <c r="AA42" s="55">
        <f t="shared" si="0"/>
        <v>-28</v>
      </c>
      <c r="AB42" s="56">
        <f t="shared" si="1"/>
        <v>0</v>
      </c>
      <c r="AC42" s="50">
        <f t="shared" si="2"/>
        <v>-28</v>
      </c>
      <c r="AD42" s="57">
        <f t="shared" si="3"/>
        <v>-56</v>
      </c>
    </row>
    <row r="43" spans="26:30" x14ac:dyDescent="0.25">
      <c r="Z43" s="54">
        <f t="shared" si="4"/>
        <v>74</v>
      </c>
      <c r="AA43" s="55">
        <f t="shared" si="0"/>
        <v>-26</v>
      </c>
      <c r="AB43" s="56">
        <f t="shared" si="1"/>
        <v>0</v>
      </c>
      <c r="AC43" s="50">
        <f t="shared" si="2"/>
        <v>-26</v>
      </c>
      <c r="AD43" s="57">
        <f t="shared" si="3"/>
        <v>-52</v>
      </c>
    </row>
    <row r="44" spans="26:30" x14ac:dyDescent="0.25">
      <c r="Z44" s="54">
        <f t="shared" si="4"/>
        <v>76</v>
      </c>
      <c r="AA44" s="55">
        <f t="shared" si="0"/>
        <v>-24</v>
      </c>
      <c r="AB44" s="56">
        <f t="shared" si="1"/>
        <v>0</v>
      </c>
      <c r="AC44" s="50">
        <f t="shared" si="2"/>
        <v>-24</v>
      </c>
      <c r="AD44" s="57">
        <f t="shared" si="3"/>
        <v>-48</v>
      </c>
    </row>
    <row r="45" spans="26:30" x14ac:dyDescent="0.25">
      <c r="Z45" s="54">
        <f t="shared" si="4"/>
        <v>78</v>
      </c>
      <c r="AA45" s="55">
        <f t="shared" si="0"/>
        <v>-22</v>
      </c>
      <c r="AB45" s="56">
        <f t="shared" si="1"/>
        <v>0</v>
      </c>
      <c r="AC45" s="50">
        <f t="shared" si="2"/>
        <v>-22</v>
      </c>
      <c r="AD45" s="57">
        <f t="shared" si="3"/>
        <v>-44</v>
      </c>
    </row>
    <row r="46" spans="26:30" x14ac:dyDescent="0.25">
      <c r="Z46" s="54">
        <f t="shared" si="4"/>
        <v>80</v>
      </c>
      <c r="AA46" s="55">
        <f t="shared" si="0"/>
        <v>-20</v>
      </c>
      <c r="AB46" s="56">
        <f t="shared" si="1"/>
        <v>0</v>
      </c>
      <c r="AC46" s="50">
        <f t="shared" si="2"/>
        <v>-20</v>
      </c>
      <c r="AD46" s="57">
        <f t="shared" si="3"/>
        <v>-40</v>
      </c>
    </row>
    <row r="47" spans="26:30" x14ac:dyDescent="0.25">
      <c r="Z47" s="54">
        <f t="shared" si="4"/>
        <v>82</v>
      </c>
      <c r="AA47" s="55">
        <f t="shared" si="0"/>
        <v>-18</v>
      </c>
      <c r="AB47" s="56">
        <f t="shared" si="1"/>
        <v>0</v>
      </c>
      <c r="AC47" s="50">
        <f t="shared" si="2"/>
        <v>-18</v>
      </c>
      <c r="AD47" s="57">
        <f t="shared" si="3"/>
        <v>-36</v>
      </c>
    </row>
    <row r="48" spans="26:30" x14ac:dyDescent="0.25">
      <c r="Z48" s="54">
        <f t="shared" si="4"/>
        <v>84</v>
      </c>
      <c r="AA48" s="55">
        <f t="shared" si="0"/>
        <v>-16</v>
      </c>
      <c r="AB48" s="56">
        <f t="shared" si="1"/>
        <v>0</v>
      </c>
      <c r="AC48" s="50">
        <f t="shared" si="2"/>
        <v>-16</v>
      </c>
      <c r="AD48" s="57">
        <f t="shared" si="3"/>
        <v>-32</v>
      </c>
    </row>
    <row r="49" spans="26:30" x14ac:dyDescent="0.25">
      <c r="Z49" s="54">
        <f t="shared" si="4"/>
        <v>86</v>
      </c>
      <c r="AA49" s="55">
        <f t="shared" si="0"/>
        <v>-14</v>
      </c>
      <c r="AB49" s="56">
        <f t="shared" si="1"/>
        <v>0</v>
      </c>
      <c r="AC49" s="50">
        <f t="shared" si="2"/>
        <v>-14</v>
      </c>
      <c r="AD49" s="57">
        <f t="shared" si="3"/>
        <v>-28</v>
      </c>
    </row>
    <row r="50" spans="26:30" x14ac:dyDescent="0.25">
      <c r="Z50" s="54">
        <f t="shared" si="4"/>
        <v>88</v>
      </c>
      <c r="AA50" s="55">
        <f t="shared" si="0"/>
        <v>-12</v>
      </c>
      <c r="AB50" s="56">
        <f t="shared" si="1"/>
        <v>0</v>
      </c>
      <c r="AC50" s="50">
        <f t="shared" si="2"/>
        <v>-12</v>
      </c>
      <c r="AD50" s="57">
        <f t="shared" si="3"/>
        <v>-24</v>
      </c>
    </row>
    <row r="51" spans="26:30" x14ac:dyDescent="0.25">
      <c r="Z51" s="54">
        <f t="shared" si="4"/>
        <v>90</v>
      </c>
      <c r="AA51" s="55">
        <f t="shared" si="0"/>
        <v>-10</v>
      </c>
      <c r="AB51" s="56">
        <f t="shared" si="1"/>
        <v>0</v>
      </c>
      <c r="AC51" s="50">
        <f t="shared" si="2"/>
        <v>-10</v>
      </c>
      <c r="AD51" s="57">
        <f t="shared" si="3"/>
        <v>-20</v>
      </c>
    </row>
    <row r="52" spans="26:30" x14ac:dyDescent="0.25">
      <c r="Z52" s="54">
        <f t="shared" si="4"/>
        <v>92</v>
      </c>
      <c r="AA52" s="55">
        <f t="shared" si="0"/>
        <v>-8</v>
      </c>
      <c r="AB52" s="56">
        <f t="shared" si="1"/>
        <v>0</v>
      </c>
      <c r="AC52" s="50">
        <f t="shared" si="2"/>
        <v>-8</v>
      </c>
      <c r="AD52" s="57">
        <f t="shared" si="3"/>
        <v>-16</v>
      </c>
    </row>
    <row r="53" spans="26:30" x14ac:dyDescent="0.25">
      <c r="Z53" s="54">
        <f t="shared" si="4"/>
        <v>94</v>
      </c>
      <c r="AA53" s="55">
        <f t="shared" si="0"/>
        <v>-6</v>
      </c>
      <c r="AB53" s="56">
        <f t="shared" si="1"/>
        <v>0</v>
      </c>
      <c r="AC53" s="50">
        <f t="shared" si="2"/>
        <v>-6</v>
      </c>
      <c r="AD53" s="57">
        <f t="shared" si="3"/>
        <v>-12</v>
      </c>
    </row>
    <row r="54" spans="26:30" x14ac:dyDescent="0.25">
      <c r="Z54" s="54">
        <f t="shared" si="4"/>
        <v>96</v>
      </c>
      <c r="AA54" s="55">
        <f t="shared" si="0"/>
        <v>-4</v>
      </c>
      <c r="AB54" s="56">
        <f t="shared" si="1"/>
        <v>0</v>
      </c>
      <c r="AC54" s="50">
        <f t="shared" si="2"/>
        <v>-4</v>
      </c>
      <c r="AD54" s="57">
        <f t="shared" si="3"/>
        <v>-8</v>
      </c>
    </row>
    <row r="55" spans="26:30" x14ac:dyDescent="0.25">
      <c r="Z55" s="54">
        <f t="shared" si="4"/>
        <v>98</v>
      </c>
      <c r="AA55" s="55">
        <f t="shared" si="0"/>
        <v>-2</v>
      </c>
      <c r="AB55" s="56">
        <f t="shared" si="1"/>
        <v>0</v>
      </c>
      <c r="AC55" s="50">
        <f t="shared" si="2"/>
        <v>-2</v>
      </c>
      <c r="AD55" s="57">
        <f t="shared" si="3"/>
        <v>-4</v>
      </c>
    </row>
    <row r="56" spans="26:30" x14ac:dyDescent="0.25">
      <c r="Z56" s="54">
        <f t="shared" si="4"/>
        <v>100</v>
      </c>
      <c r="AA56" s="55">
        <f t="shared" si="0"/>
        <v>0</v>
      </c>
      <c r="AB56" s="56">
        <f t="shared" si="1"/>
        <v>0</v>
      </c>
      <c r="AC56" s="50">
        <f t="shared" si="2"/>
        <v>0</v>
      </c>
      <c r="AD56" s="57">
        <f t="shared" si="3"/>
        <v>0</v>
      </c>
    </row>
    <row r="57" spans="26:30" x14ac:dyDescent="0.25">
      <c r="Z57" s="54">
        <f t="shared" si="4"/>
        <v>102</v>
      </c>
      <c r="AA57" s="55">
        <f t="shared" si="0"/>
        <v>0</v>
      </c>
      <c r="AB57" s="56">
        <f t="shared" si="1"/>
        <v>2</v>
      </c>
      <c r="AC57" s="50">
        <f t="shared" si="2"/>
        <v>2</v>
      </c>
      <c r="AD57" s="57">
        <f t="shared" si="3"/>
        <v>4</v>
      </c>
    </row>
    <row r="58" spans="26:30" x14ac:dyDescent="0.25">
      <c r="Z58" s="54">
        <f t="shared" si="4"/>
        <v>104</v>
      </c>
      <c r="AA58" s="55">
        <f t="shared" si="0"/>
        <v>0</v>
      </c>
      <c r="AB58" s="56">
        <f t="shared" si="1"/>
        <v>4</v>
      </c>
      <c r="AC58" s="50">
        <f t="shared" si="2"/>
        <v>4</v>
      </c>
      <c r="AD58" s="57">
        <f t="shared" si="3"/>
        <v>8</v>
      </c>
    </row>
    <row r="59" spans="26:30" x14ac:dyDescent="0.25">
      <c r="Z59" s="54">
        <f t="shared" si="4"/>
        <v>106</v>
      </c>
      <c r="AA59" s="55">
        <f t="shared" si="0"/>
        <v>0</v>
      </c>
      <c r="AB59" s="56">
        <f t="shared" si="1"/>
        <v>6</v>
      </c>
      <c r="AC59" s="50">
        <f t="shared" si="2"/>
        <v>6</v>
      </c>
      <c r="AD59" s="57">
        <f t="shared" si="3"/>
        <v>12</v>
      </c>
    </row>
    <row r="60" spans="26:30" x14ac:dyDescent="0.25">
      <c r="Z60" s="54">
        <f t="shared" si="4"/>
        <v>108</v>
      </c>
      <c r="AA60" s="55">
        <f t="shared" si="0"/>
        <v>0</v>
      </c>
      <c r="AB60" s="56">
        <f t="shared" si="1"/>
        <v>8</v>
      </c>
      <c r="AC60" s="50">
        <f t="shared" si="2"/>
        <v>8</v>
      </c>
      <c r="AD60" s="57">
        <f t="shared" si="3"/>
        <v>16</v>
      </c>
    </row>
    <row r="61" spans="26:30" x14ac:dyDescent="0.25">
      <c r="Z61" s="54">
        <f t="shared" si="4"/>
        <v>110</v>
      </c>
      <c r="AA61" s="55">
        <f t="shared" si="0"/>
        <v>0</v>
      </c>
      <c r="AB61" s="56">
        <f t="shared" si="1"/>
        <v>10</v>
      </c>
      <c r="AC61" s="50">
        <f t="shared" si="2"/>
        <v>10</v>
      </c>
      <c r="AD61" s="57">
        <f t="shared" si="3"/>
        <v>20</v>
      </c>
    </row>
    <row r="62" spans="26:30" x14ac:dyDescent="0.25">
      <c r="Z62" s="54">
        <f t="shared" si="4"/>
        <v>112</v>
      </c>
      <c r="AA62" s="55">
        <f t="shared" si="0"/>
        <v>0</v>
      </c>
      <c r="AB62" s="56">
        <f t="shared" si="1"/>
        <v>12</v>
      </c>
      <c r="AC62" s="50">
        <f t="shared" si="2"/>
        <v>12</v>
      </c>
      <c r="AD62" s="57">
        <f t="shared" si="3"/>
        <v>24</v>
      </c>
    </row>
    <row r="63" spans="26:30" x14ac:dyDescent="0.25">
      <c r="Z63" s="54">
        <f t="shared" si="4"/>
        <v>114</v>
      </c>
      <c r="AA63" s="55">
        <f t="shared" si="0"/>
        <v>0</v>
      </c>
      <c r="AB63" s="56">
        <f t="shared" si="1"/>
        <v>14</v>
      </c>
      <c r="AC63" s="50">
        <f t="shared" si="2"/>
        <v>14</v>
      </c>
      <c r="AD63" s="57">
        <f t="shared" si="3"/>
        <v>28</v>
      </c>
    </row>
    <row r="64" spans="26:30" x14ac:dyDescent="0.25">
      <c r="Z64" s="54">
        <f t="shared" si="4"/>
        <v>116</v>
      </c>
      <c r="AA64" s="55">
        <f t="shared" si="0"/>
        <v>0</v>
      </c>
      <c r="AB64" s="56">
        <f t="shared" si="1"/>
        <v>16</v>
      </c>
      <c r="AC64" s="50">
        <f t="shared" si="2"/>
        <v>16</v>
      </c>
      <c r="AD64" s="57">
        <f t="shared" si="3"/>
        <v>32</v>
      </c>
    </row>
    <row r="65" spans="26:30" x14ac:dyDescent="0.25">
      <c r="Z65" s="54">
        <f t="shared" si="4"/>
        <v>118</v>
      </c>
      <c r="AA65" s="55">
        <f t="shared" si="0"/>
        <v>0</v>
      </c>
      <c r="AB65" s="56">
        <f t="shared" si="1"/>
        <v>18</v>
      </c>
      <c r="AC65" s="50">
        <f t="shared" si="2"/>
        <v>18</v>
      </c>
      <c r="AD65" s="57">
        <f t="shared" si="3"/>
        <v>36</v>
      </c>
    </row>
    <row r="66" spans="26:30" x14ac:dyDescent="0.25">
      <c r="Z66" s="54">
        <f t="shared" si="4"/>
        <v>120</v>
      </c>
      <c r="AA66" s="55">
        <f t="shared" si="0"/>
        <v>0</v>
      </c>
      <c r="AB66" s="56">
        <f t="shared" si="1"/>
        <v>20</v>
      </c>
      <c r="AC66" s="50">
        <f t="shared" si="2"/>
        <v>20</v>
      </c>
      <c r="AD66" s="57">
        <f t="shared" si="3"/>
        <v>40</v>
      </c>
    </row>
    <row r="67" spans="26:30" x14ac:dyDescent="0.25">
      <c r="Z67" s="54">
        <f t="shared" si="4"/>
        <v>122</v>
      </c>
      <c r="AA67" s="55">
        <f t="shared" si="0"/>
        <v>0</v>
      </c>
      <c r="AB67" s="56">
        <f t="shared" si="1"/>
        <v>22</v>
      </c>
      <c r="AC67" s="50">
        <f t="shared" si="2"/>
        <v>22</v>
      </c>
      <c r="AD67" s="57">
        <f t="shared" si="3"/>
        <v>44</v>
      </c>
    </row>
    <row r="68" spans="26:30" x14ac:dyDescent="0.25">
      <c r="Z68" s="54">
        <f t="shared" si="4"/>
        <v>124</v>
      </c>
      <c r="AA68" s="55">
        <f t="shared" si="0"/>
        <v>0</v>
      </c>
      <c r="AB68" s="56">
        <f t="shared" si="1"/>
        <v>24</v>
      </c>
      <c r="AC68" s="50">
        <f t="shared" si="2"/>
        <v>24</v>
      </c>
      <c r="AD68" s="57">
        <f t="shared" si="3"/>
        <v>48</v>
      </c>
    </row>
    <row r="69" spans="26:30" x14ac:dyDescent="0.25">
      <c r="Z69" s="54">
        <f t="shared" si="4"/>
        <v>126</v>
      </c>
      <c r="AA69" s="55">
        <f t="shared" si="0"/>
        <v>0</v>
      </c>
      <c r="AB69" s="56">
        <f t="shared" si="1"/>
        <v>26</v>
      </c>
      <c r="AC69" s="50">
        <f t="shared" si="2"/>
        <v>26</v>
      </c>
      <c r="AD69" s="57">
        <f t="shared" si="3"/>
        <v>52</v>
      </c>
    </row>
    <row r="70" spans="26:30" x14ac:dyDescent="0.25">
      <c r="Z70" s="54">
        <f t="shared" si="4"/>
        <v>128</v>
      </c>
      <c r="AA70" s="55">
        <f t="shared" si="0"/>
        <v>0</v>
      </c>
      <c r="AB70" s="56">
        <f t="shared" si="1"/>
        <v>28</v>
      </c>
      <c r="AC70" s="50">
        <f t="shared" si="2"/>
        <v>28</v>
      </c>
      <c r="AD70" s="57">
        <f t="shared" si="3"/>
        <v>56</v>
      </c>
    </row>
    <row r="71" spans="26:30" x14ac:dyDescent="0.25">
      <c r="Z71" s="54">
        <f t="shared" si="4"/>
        <v>130</v>
      </c>
      <c r="AA71" s="55">
        <f t="shared" ref="AA71:AA106" si="8">(MAX(IF($AA$3="C",1,-1)*(Z71-$AI$7),0)-IF($AI$12="Y",$AI$15,0))*$AI$6</f>
        <v>0</v>
      </c>
      <c r="AB71" s="56">
        <f t="shared" ref="AB71:AB106" si="9">(MAX(IF($AB$3="C",1,-1)*(Z71-$AJ$7),0)-IF($AI$12="Y",$AJ$15,0))*$AJ$6</f>
        <v>30</v>
      </c>
      <c r="AC71" s="50">
        <f t="shared" ref="AC71:AC106" si="10">(Z71-$AK$7)*$AK$6</f>
        <v>30</v>
      </c>
      <c r="AD71" s="57">
        <f t="shared" ref="AD71:AD106" si="11">SUM(AA71:AC71)*IF($E$6="Y",1,0)</f>
        <v>60</v>
      </c>
    </row>
    <row r="72" spans="26:30" x14ac:dyDescent="0.25">
      <c r="Z72" s="54">
        <f t="shared" ref="Z72:Z106" si="12">Z71+2</f>
        <v>132</v>
      </c>
      <c r="AA72" s="55">
        <f t="shared" si="8"/>
        <v>0</v>
      </c>
      <c r="AB72" s="56">
        <f t="shared" si="9"/>
        <v>32</v>
      </c>
      <c r="AC72" s="50">
        <f t="shared" si="10"/>
        <v>32</v>
      </c>
      <c r="AD72" s="57">
        <f t="shared" si="11"/>
        <v>64</v>
      </c>
    </row>
    <row r="73" spans="26:30" x14ac:dyDescent="0.25">
      <c r="Z73" s="54">
        <f t="shared" si="12"/>
        <v>134</v>
      </c>
      <c r="AA73" s="55">
        <f t="shared" si="8"/>
        <v>0</v>
      </c>
      <c r="AB73" s="56">
        <f t="shared" si="9"/>
        <v>34</v>
      </c>
      <c r="AC73" s="50">
        <f t="shared" si="10"/>
        <v>34</v>
      </c>
      <c r="AD73" s="57">
        <f t="shared" si="11"/>
        <v>68</v>
      </c>
    </row>
    <row r="74" spans="26:30" x14ac:dyDescent="0.25">
      <c r="Z74" s="54">
        <f t="shared" si="12"/>
        <v>136</v>
      </c>
      <c r="AA74" s="55">
        <f t="shared" si="8"/>
        <v>0</v>
      </c>
      <c r="AB74" s="56">
        <f t="shared" si="9"/>
        <v>36</v>
      </c>
      <c r="AC74" s="50">
        <f t="shared" si="10"/>
        <v>36</v>
      </c>
      <c r="AD74" s="57">
        <f t="shared" si="11"/>
        <v>72</v>
      </c>
    </row>
    <row r="75" spans="26:30" x14ac:dyDescent="0.25">
      <c r="Z75" s="54">
        <f t="shared" si="12"/>
        <v>138</v>
      </c>
      <c r="AA75" s="55">
        <f t="shared" si="8"/>
        <v>0</v>
      </c>
      <c r="AB75" s="56">
        <f t="shared" si="9"/>
        <v>38</v>
      </c>
      <c r="AC75" s="50">
        <f t="shared" si="10"/>
        <v>38</v>
      </c>
      <c r="AD75" s="57">
        <f t="shared" si="11"/>
        <v>76</v>
      </c>
    </row>
    <row r="76" spans="26:30" x14ac:dyDescent="0.25">
      <c r="Z76" s="54">
        <f t="shared" si="12"/>
        <v>140</v>
      </c>
      <c r="AA76" s="55">
        <f t="shared" si="8"/>
        <v>0</v>
      </c>
      <c r="AB76" s="56">
        <f t="shared" si="9"/>
        <v>40</v>
      </c>
      <c r="AC76" s="50">
        <f t="shared" si="10"/>
        <v>40</v>
      </c>
      <c r="AD76" s="57">
        <f t="shared" si="11"/>
        <v>80</v>
      </c>
    </row>
    <row r="77" spans="26:30" x14ac:dyDescent="0.25">
      <c r="Z77" s="54">
        <f t="shared" si="12"/>
        <v>142</v>
      </c>
      <c r="AA77" s="55">
        <f t="shared" si="8"/>
        <v>0</v>
      </c>
      <c r="AB77" s="56">
        <f t="shared" si="9"/>
        <v>42</v>
      </c>
      <c r="AC77" s="50">
        <f t="shared" si="10"/>
        <v>42</v>
      </c>
      <c r="AD77" s="57">
        <f t="shared" si="11"/>
        <v>84</v>
      </c>
    </row>
    <row r="78" spans="26:30" x14ac:dyDescent="0.25">
      <c r="Z78" s="54">
        <f t="shared" si="12"/>
        <v>144</v>
      </c>
      <c r="AA78" s="55">
        <f t="shared" si="8"/>
        <v>0</v>
      </c>
      <c r="AB78" s="56">
        <f t="shared" si="9"/>
        <v>44</v>
      </c>
      <c r="AC78" s="50">
        <f t="shared" si="10"/>
        <v>44</v>
      </c>
      <c r="AD78" s="57">
        <f t="shared" si="11"/>
        <v>88</v>
      </c>
    </row>
    <row r="79" spans="26:30" x14ac:dyDescent="0.25">
      <c r="Z79" s="54">
        <f t="shared" si="12"/>
        <v>146</v>
      </c>
      <c r="AA79" s="55">
        <f t="shared" si="8"/>
        <v>0</v>
      </c>
      <c r="AB79" s="56">
        <f t="shared" si="9"/>
        <v>46</v>
      </c>
      <c r="AC79" s="50">
        <f t="shared" si="10"/>
        <v>46</v>
      </c>
      <c r="AD79" s="57">
        <f t="shared" si="11"/>
        <v>92</v>
      </c>
    </row>
    <row r="80" spans="26:30" x14ac:dyDescent="0.25">
      <c r="Z80" s="54">
        <f t="shared" si="12"/>
        <v>148</v>
      </c>
      <c r="AA80" s="55">
        <f t="shared" si="8"/>
        <v>0</v>
      </c>
      <c r="AB80" s="56">
        <f t="shared" si="9"/>
        <v>48</v>
      </c>
      <c r="AC80" s="50">
        <f t="shared" si="10"/>
        <v>48</v>
      </c>
      <c r="AD80" s="57">
        <f t="shared" si="11"/>
        <v>96</v>
      </c>
    </row>
    <row r="81" spans="26:30" x14ac:dyDescent="0.25">
      <c r="Z81" s="54">
        <f t="shared" si="12"/>
        <v>150</v>
      </c>
      <c r="AA81" s="55">
        <f t="shared" si="8"/>
        <v>0</v>
      </c>
      <c r="AB81" s="56">
        <f t="shared" si="9"/>
        <v>50</v>
      </c>
      <c r="AC81" s="50">
        <f t="shared" si="10"/>
        <v>50</v>
      </c>
      <c r="AD81" s="57">
        <f t="shared" si="11"/>
        <v>100</v>
      </c>
    </row>
    <row r="82" spans="26:30" x14ac:dyDescent="0.25">
      <c r="Z82" s="54">
        <f t="shared" si="12"/>
        <v>152</v>
      </c>
      <c r="AA82" s="55">
        <f t="shared" si="8"/>
        <v>0</v>
      </c>
      <c r="AB82" s="56">
        <f t="shared" si="9"/>
        <v>52</v>
      </c>
      <c r="AC82" s="50">
        <f t="shared" si="10"/>
        <v>52</v>
      </c>
      <c r="AD82" s="57">
        <f t="shared" si="11"/>
        <v>104</v>
      </c>
    </row>
    <row r="83" spans="26:30" x14ac:dyDescent="0.25">
      <c r="Z83" s="54">
        <f t="shared" si="12"/>
        <v>154</v>
      </c>
      <c r="AA83" s="55">
        <f t="shared" si="8"/>
        <v>0</v>
      </c>
      <c r="AB83" s="56">
        <f t="shared" si="9"/>
        <v>54</v>
      </c>
      <c r="AC83" s="50">
        <f t="shared" si="10"/>
        <v>54</v>
      </c>
      <c r="AD83" s="57">
        <f t="shared" si="11"/>
        <v>108</v>
      </c>
    </row>
    <row r="84" spans="26:30" x14ac:dyDescent="0.25">
      <c r="Z84" s="54">
        <f t="shared" si="12"/>
        <v>156</v>
      </c>
      <c r="AA84" s="55">
        <f t="shared" si="8"/>
        <v>0</v>
      </c>
      <c r="AB84" s="56">
        <f t="shared" si="9"/>
        <v>56</v>
      </c>
      <c r="AC84" s="50">
        <f t="shared" si="10"/>
        <v>56</v>
      </c>
      <c r="AD84" s="57">
        <f t="shared" si="11"/>
        <v>112</v>
      </c>
    </row>
    <row r="85" spans="26:30" x14ac:dyDescent="0.25">
      <c r="Z85" s="54">
        <f t="shared" si="12"/>
        <v>158</v>
      </c>
      <c r="AA85" s="55">
        <f t="shared" si="8"/>
        <v>0</v>
      </c>
      <c r="AB85" s="56">
        <f t="shared" si="9"/>
        <v>58</v>
      </c>
      <c r="AC85" s="50">
        <f t="shared" si="10"/>
        <v>58</v>
      </c>
      <c r="AD85" s="57">
        <f t="shared" si="11"/>
        <v>116</v>
      </c>
    </row>
    <row r="86" spans="26:30" x14ac:dyDescent="0.25">
      <c r="Z86" s="54">
        <f t="shared" si="12"/>
        <v>160</v>
      </c>
      <c r="AA86" s="55">
        <f t="shared" si="8"/>
        <v>0</v>
      </c>
      <c r="AB86" s="56">
        <f t="shared" si="9"/>
        <v>60</v>
      </c>
      <c r="AC86" s="50">
        <f t="shared" si="10"/>
        <v>60</v>
      </c>
      <c r="AD86" s="57">
        <f t="shared" si="11"/>
        <v>120</v>
      </c>
    </row>
    <row r="87" spans="26:30" x14ac:dyDescent="0.25">
      <c r="Z87" s="54">
        <f t="shared" si="12"/>
        <v>162</v>
      </c>
      <c r="AA87" s="55">
        <f t="shared" si="8"/>
        <v>0</v>
      </c>
      <c r="AB87" s="56">
        <f t="shared" si="9"/>
        <v>62</v>
      </c>
      <c r="AC87" s="50">
        <f t="shared" si="10"/>
        <v>62</v>
      </c>
      <c r="AD87" s="57">
        <f t="shared" si="11"/>
        <v>124</v>
      </c>
    </row>
    <row r="88" spans="26:30" x14ac:dyDescent="0.25">
      <c r="Z88" s="54">
        <f t="shared" si="12"/>
        <v>164</v>
      </c>
      <c r="AA88" s="55">
        <f t="shared" si="8"/>
        <v>0</v>
      </c>
      <c r="AB88" s="56">
        <f t="shared" si="9"/>
        <v>64</v>
      </c>
      <c r="AC88" s="50">
        <f t="shared" si="10"/>
        <v>64</v>
      </c>
      <c r="AD88" s="57">
        <f t="shared" si="11"/>
        <v>128</v>
      </c>
    </row>
    <row r="89" spans="26:30" x14ac:dyDescent="0.25">
      <c r="Z89" s="54">
        <f t="shared" si="12"/>
        <v>166</v>
      </c>
      <c r="AA89" s="55">
        <f t="shared" si="8"/>
        <v>0</v>
      </c>
      <c r="AB89" s="56">
        <f t="shared" si="9"/>
        <v>66</v>
      </c>
      <c r="AC89" s="50">
        <f t="shared" si="10"/>
        <v>66</v>
      </c>
      <c r="AD89" s="57">
        <f t="shared" si="11"/>
        <v>132</v>
      </c>
    </row>
    <row r="90" spans="26:30" x14ac:dyDescent="0.25">
      <c r="Z90" s="54">
        <f t="shared" si="12"/>
        <v>168</v>
      </c>
      <c r="AA90" s="55">
        <f t="shared" si="8"/>
        <v>0</v>
      </c>
      <c r="AB90" s="56">
        <f t="shared" si="9"/>
        <v>68</v>
      </c>
      <c r="AC90" s="50">
        <f t="shared" si="10"/>
        <v>68</v>
      </c>
      <c r="AD90" s="57">
        <f t="shared" si="11"/>
        <v>136</v>
      </c>
    </row>
    <row r="91" spans="26:30" x14ac:dyDescent="0.25">
      <c r="Z91" s="54">
        <f t="shared" si="12"/>
        <v>170</v>
      </c>
      <c r="AA91" s="55">
        <f t="shared" si="8"/>
        <v>0</v>
      </c>
      <c r="AB91" s="56">
        <f t="shared" si="9"/>
        <v>70</v>
      </c>
      <c r="AC91" s="50">
        <f t="shared" si="10"/>
        <v>70</v>
      </c>
      <c r="AD91" s="57">
        <f t="shared" si="11"/>
        <v>140</v>
      </c>
    </row>
    <row r="92" spans="26:30" x14ac:dyDescent="0.25">
      <c r="Z92" s="54">
        <f t="shared" si="12"/>
        <v>172</v>
      </c>
      <c r="AA92" s="55">
        <f t="shared" si="8"/>
        <v>0</v>
      </c>
      <c r="AB92" s="56">
        <f t="shared" si="9"/>
        <v>72</v>
      </c>
      <c r="AC92" s="50">
        <f t="shared" si="10"/>
        <v>72</v>
      </c>
      <c r="AD92" s="57">
        <f t="shared" si="11"/>
        <v>144</v>
      </c>
    </row>
    <row r="93" spans="26:30" x14ac:dyDescent="0.25">
      <c r="Z93" s="54">
        <f t="shared" si="12"/>
        <v>174</v>
      </c>
      <c r="AA93" s="55">
        <f t="shared" si="8"/>
        <v>0</v>
      </c>
      <c r="AB93" s="56">
        <f t="shared" si="9"/>
        <v>74</v>
      </c>
      <c r="AC93" s="50">
        <f t="shared" si="10"/>
        <v>74</v>
      </c>
      <c r="AD93" s="57">
        <f t="shared" si="11"/>
        <v>148</v>
      </c>
    </row>
    <row r="94" spans="26:30" x14ac:dyDescent="0.25">
      <c r="Z94" s="54">
        <f t="shared" si="12"/>
        <v>176</v>
      </c>
      <c r="AA94" s="55">
        <f t="shared" si="8"/>
        <v>0</v>
      </c>
      <c r="AB94" s="56">
        <f t="shared" si="9"/>
        <v>76</v>
      </c>
      <c r="AC94" s="50">
        <f t="shared" si="10"/>
        <v>76</v>
      </c>
      <c r="AD94" s="57">
        <f t="shared" si="11"/>
        <v>152</v>
      </c>
    </row>
    <row r="95" spans="26:30" x14ac:dyDescent="0.25">
      <c r="Z95" s="54">
        <f t="shared" si="12"/>
        <v>178</v>
      </c>
      <c r="AA95" s="55">
        <f t="shared" si="8"/>
        <v>0</v>
      </c>
      <c r="AB95" s="56">
        <f t="shared" si="9"/>
        <v>78</v>
      </c>
      <c r="AC95" s="50">
        <f t="shared" si="10"/>
        <v>78</v>
      </c>
      <c r="AD95" s="57">
        <f t="shared" si="11"/>
        <v>156</v>
      </c>
    </row>
    <row r="96" spans="26:30" x14ac:dyDescent="0.25">
      <c r="Z96" s="54">
        <f t="shared" si="12"/>
        <v>180</v>
      </c>
      <c r="AA96" s="55">
        <f t="shared" si="8"/>
        <v>0</v>
      </c>
      <c r="AB96" s="56">
        <f t="shared" si="9"/>
        <v>80</v>
      </c>
      <c r="AC96" s="50">
        <f t="shared" si="10"/>
        <v>80</v>
      </c>
      <c r="AD96" s="57">
        <f t="shared" si="11"/>
        <v>160</v>
      </c>
    </row>
    <row r="97" spans="26:30" x14ac:dyDescent="0.25">
      <c r="Z97" s="54">
        <f t="shared" si="12"/>
        <v>182</v>
      </c>
      <c r="AA97" s="55">
        <f t="shared" si="8"/>
        <v>0</v>
      </c>
      <c r="AB97" s="56">
        <f t="shared" si="9"/>
        <v>82</v>
      </c>
      <c r="AC97" s="50">
        <f t="shared" si="10"/>
        <v>82</v>
      </c>
      <c r="AD97" s="57">
        <f t="shared" si="11"/>
        <v>164</v>
      </c>
    </row>
    <row r="98" spans="26:30" x14ac:dyDescent="0.25">
      <c r="Z98" s="54">
        <f t="shared" si="12"/>
        <v>184</v>
      </c>
      <c r="AA98" s="55">
        <f t="shared" si="8"/>
        <v>0</v>
      </c>
      <c r="AB98" s="56">
        <f t="shared" si="9"/>
        <v>84</v>
      </c>
      <c r="AC98" s="50">
        <f t="shared" si="10"/>
        <v>84</v>
      </c>
      <c r="AD98" s="57">
        <f t="shared" si="11"/>
        <v>168</v>
      </c>
    </row>
    <row r="99" spans="26:30" x14ac:dyDescent="0.25">
      <c r="Z99" s="54">
        <f t="shared" si="12"/>
        <v>186</v>
      </c>
      <c r="AA99" s="55">
        <f t="shared" si="8"/>
        <v>0</v>
      </c>
      <c r="AB99" s="56">
        <f t="shared" si="9"/>
        <v>86</v>
      </c>
      <c r="AC99" s="50">
        <f t="shared" si="10"/>
        <v>86</v>
      </c>
      <c r="AD99" s="57">
        <f t="shared" si="11"/>
        <v>172</v>
      </c>
    </row>
    <row r="100" spans="26:30" x14ac:dyDescent="0.25">
      <c r="Z100" s="54">
        <f t="shared" si="12"/>
        <v>188</v>
      </c>
      <c r="AA100" s="55">
        <f t="shared" si="8"/>
        <v>0</v>
      </c>
      <c r="AB100" s="56">
        <f t="shared" si="9"/>
        <v>88</v>
      </c>
      <c r="AC100" s="50">
        <f t="shared" si="10"/>
        <v>88</v>
      </c>
      <c r="AD100" s="57">
        <f t="shared" si="11"/>
        <v>176</v>
      </c>
    </row>
    <row r="101" spans="26:30" x14ac:dyDescent="0.25">
      <c r="Z101" s="54">
        <f t="shared" si="12"/>
        <v>190</v>
      </c>
      <c r="AA101" s="55">
        <f t="shared" si="8"/>
        <v>0</v>
      </c>
      <c r="AB101" s="56">
        <f t="shared" si="9"/>
        <v>90</v>
      </c>
      <c r="AC101" s="50">
        <f t="shared" si="10"/>
        <v>90</v>
      </c>
      <c r="AD101" s="57">
        <f t="shared" si="11"/>
        <v>180</v>
      </c>
    </row>
    <row r="102" spans="26:30" x14ac:dyDescent="0.25">
      <c r="Z102" s="54">
        <f t="shared" si="12"/>
        <v>192</v>
      </c>
      <c r="AA102" s="55">
        <f t="shared" si="8"/>
        <v>0</v>
      </c>
      <c r="AB102" s="56">
        <f t="shared" si="9"/>
        <v>92</v>
      </c>
      <c r="AC102" s="50">
        <f t="shared" si="10"/>
        <v>92</v>
      </c>
      <c r="AD102" s="57">
        <f t="shared" si="11"/>
        <v>184</v>
      </c>
    </row>
    <row r="103" spans="26:30" x14ac:dyDescent="0.25">
      <c r="Z103" s="54">
        <f t="shared" si="12"/>
        <v>194</v>
      </c>
      <c r="AA103" s="55">
        <f t="shared" si="8"/>
        <v>0</v>
      </c>
      <c r="AB103" s="56">
        <f t="shared" si="9"/>
        <v>94</v>
      </c>
      <c r="AC103" s="50">
        <f t="shared" si="10"/>
        <v>94</v>
      </c>
      <c r="AD103" s="57">
        <f t="shared" si="11"/>
        <v>188</v>
      </c>
    </row>
    <row r="104" spans="26:30" x14ac:dyDescent="0.25">
      <c r="Z104" s="54">
        <f t="shared" si="12"/>
        <v>196</v>
      </c>
      <c r="AA104" s="55">
        <f t="shared" si="8"/>
        <v>0</v>
      </c>
      <c r="AB104" s="56">
        <f t="shared" si="9"/>
        <v>96</v>
      </c>
      <c r="AC104" s="50">
        <f t="shared" si="10"/>
        <v>96</v>
      </c>
      <c r="AD104" s="57">
        <f t="shared" si="11"/>
        <v>192</v>
      </c>
    </row>
    <row r="105" spans="26:30" x14ac:dyDescent="0.25">
      <c r="Z105" s="54">
        <f t="shared" si="12"/>
        <v>198</v>
      </c>
      <c r="AA105" s="55">
        <f t="shared" si="8"/>
        <v>0</v>
      </c>
      <c r="AB105" s="56">
        <f t="shared" si="9"/>
        <v>98</v>
      </c>
      <c r="AC105" s="50">
        <f t="shared" si="10"/>
        <v>98</v>
      </c>
      <c r="AD105" s="57">
        <f t="shared" si="11"/>
        <v>196</v>
      </c>
    </row>
    <row r="106" spans="26:30" x14ac:dyDescent="0.25">
      <c r="Z106" s="64">
        <f t="shared" si="12"/>
        <v>200</v>
      </c>
      <c r="AA106" s="65">
        <f t="shared" si="8"/>
        <v>0</v>
      </c>
      <c r="AB106" s="58">
        <f t="shared" si="9"/>
        <v>100</v>
      </c>
      <c r="AC106" s="67">
        <f t="shared" si="10"/>
        <v>100</v>
      </c>
      <c r="AD106" s="66">
        <f t="shared" si="11"/>
        <v>200</v>
      </c>
    </row>
    <row r="107" spans="26:30" x14ac:dyDescent="0.25">
      <c r="Z107" s="54"/>
    </row>
    <row r="108" spans="26:30" x14ac:dyDescent="0.25">
      <c r="Z108" s="54"/>
    </row>
    <row r="109" spans="26:30" x14ac:dyDescent="0.25">
      <c r="Z109" s="54"/>
    </row>
    <row r="110" spans="26:30" x14ac:dyDescent="0.25">
      <c r="Z110" s="54"/>
    </row>
    <row r="111" spans="26:30" x14ac:dyDescent="0.25">
      <c r="Z111" s="54"/>
    </row>
    <row r="112" spans="26:30" x14ac:dyDescent="0.25">
      <c r="Z112" s="54"/>
    </row>
    <row r="113" spans="26:26" x14ac:dyDescent="0.25">
      <c r="Z113" s="54"/>
    </row>
    <row r="114" spans="26:26" x14ac:dyDescent="0.25">
      <c r="Z114" s="54"/>
    </row>
    <row r="115" spans="26:26" x14ac:dyDescent="0.25">
      <c r="Z115" s="54"/>
    </row>
    <row r="116" spans="26:26" x14ac:dyDescent="0.25">
      <c r="Z116" s="54"/>
    </row>
    <row r="117" spans="26:26" x14ac:dyDescent="0.25">
      <c r="Z117" s="54"/>
    </row>
    <row r="118" spans="26:26" x14ac:dyDescent="0.25">
      <c r="Z118" s="54"/>
    </row>
    <row r="119" spans="26:26" x14ac:dyDescent="0.25">
      <c r="Z119" s="54"/>
    </row>
    <row r="120" spans="26:26" x14ac:dyDescent="0.25">
      <c r="Z120" s="54"/>
    </row>
    <row r="121" spans="26:26" x14ac:dyDescent="0.25">
      <c r="Z121" s="54"/>
    </row>
    <row r="122" spans="26:26" x14ac:dyDescent="0.25">
      <c r="Z122" s="54"/>
    </row>
    <row r="123" spans="26:26" x14ac:dyDescent="0.25">
      <c r="Z123" s="54"/>
    </row>
    <row r="124" spans="26:26" x14ac:dyDescent="0.25">
      <c r="Z124" s="54"/>
    </row>
    <row r="125" spans="26:26" x14ac:dyDescent="0.25">
      <c r="Z125" s="54"/>
    </row>
    <row r="126" spans="26:26" x14ac:dyDescent="0.25">
      <c r="Z126" s="54"/>
    </row>
    <row r="127" spans="26:26" x14ac:dyDescent="0.25">
      <c r="Z127" s="54"/>
    </row>
    <row r="128" spans="26:26" x14ac:dyDescent="0.25">
      <c r="Z128" s="54"/>
    </row>
    <row r="129" spans="26:26" x14ac:dyDescent="0.25">
      <c r="Z129" s="54"/>
    </row>
    <row r="130" spans="26:26" x14ac:dyDescent="0.25">
      <c r="Z130" s="54"/>
    </row>
    <row r="131" spans="26:26" x14ac:dyDescent="0.25">
      <c r="Z131" s="54"/>
    </row>
    <row r="132" spans="26:26" x14ac:dyDescent="0.25">
      <c r="Z132" s="54"/>
    </row>
    <row r="133" spans="26:26" x14ac:dyDescent="0.25">
      <c r="Z133" s="54"/>
    </row>
    <row r="134" spans="26:26" x14ac:dyDescent="0.25">
      <c r="Z134" s="54"/>
    </row>
  </sheetData>
  <mergeCells count="14">
    <mergeCell ref="D1:F1"/>
    <mergeCell ref="Z3:Z4"/>
    <mergeCell ref="AA3:AA4"/>
    <mergeCell ref="AB3:AB4"/>
    <mergeCell ref="AC3:AC4"/>
    <mergeCell ref="AG4:AG12"/>
    <mergeCell ref="AI4:AK4"/>
    <mergeCell ref="AA5:AC5"/>
    <mergeCell ref="AI8:AK8"/>
    <mergeCell ref="AI9:AK9"/>
    <mergeCell ref="AI10:AK10"/>
    <mergeCell ref="AI11:AK11"/>
    <mergeCell ref="AI12:AK12"/>
    <mergeCell ref="AD3:AD5"/>
  </mergeCells>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B6A3B-FA93-428D-8821-C258817D4F36}">
  <dimension ref="A1:O9"/>
  <sheetViews>
    <sheetView workbookViewId="0">
      <selection activeCell="H1" sqref="H1"/>
    </sheetView>
  </sheetViews>
  <sheetFormatPr baseColWidth="10" defaultColWidth="8.77734375" defaultRowHeight="13.2" x14ac:dyDescent="0.25"/>
  <cols>
    <col min="1" max="1" width="14.21875" style="42" bestFit="1" customWidth="1"/>
    <col min="2" max="7" width="8.77734375" style="42"/>
    <col min="8" max="8" width="3.77734375" style="42" customWidth="1"/>
    <col min="9" max="9" width="10.109375" style="42" bestFit="1" customWidth="1"/>
    <col min="10" max="16384" width="8.77734375" style="42"/>
  </cols>
  <sheetData>
    <row r="1" spans="1:15" x14ac:dyDescent="0.25">
      <c r="A1" s="702" t="s">
        <v>285</v>
      </c>
      <c r="B1" s="702"/>
      <c r="C1" s="702"/>
      <c r="D1" s="702"/>
      <c r="E1" s="702"/>
      <c r="F1" s="702"/>
      <c r="G1" s="702"/>
      <c r="I1" s="702" t="s">
        <v>113</v>
      </c>
      <c r="J1" s="702"/>
      <c r="K1" s="702"/>
      <c r="L1" s="702"/>
      <c r="M1" s="702"/>
      <c r="N1" s="702"/>
      <c r="O1" s="702"/>
    </row>
    <row r="2" spans="1:15" x14ac:dyDescent="0.25">
      <c r="A2" s="228">
        <v>43972</v>
      </c>
      <c r="B2" s="726">
        <v>44001</v>
      </c>
      <c r="C2" s="727"/>
      <c r="D2" s="726">
        <v>44092</v>
      </c>
      <c r="E2" s="727"/>
      <c r="F2" s="726">
        <v>44183</v>
      </c>
      <c r="G2" s="727"/>
      <c r="I2" s="229">
        <v>43972</v>
      </c>
      <c r="J2" s="728">
        <v>44001</v>
      </c>
      <c r="K2" s="702"/>
      <c r="L2" s="728">
        <v>44092</v>
      </c>
      <c r="M2" s="702"/>
      <c r="N2" s="728">
        <v>44183</v>
      </c>
      <c r="O2" s="702"/>
    </row>
    <row r="3" spans="1:15" x14ac:dyDescent="0.25">
      <c r="A3" s="43" t="s">
        <v>286</v>
      </c>
      <c r="B3" s="46" t="s">
        <v>287</v>
      </c>
      <c r="C3" s="46" t="s">
        <v>288</v>
      </c>
      <c r="D3" s="46" t="s">
        <v>287</v>
      </c>
      <c r="E3" s="46" t="s">
        <v>288</v>
      </c>
      <c r="F3" s="46" t="s">
        <v>287</v>
      </c>
      <c r="G3" s="46" t="s">
        <v>288</v>
      </c>
      <c r="I3" s="43" t="s">
        <v>286</v>
      </c>
      <c r="J3" s="46" t="s">
        <v>287</v>
      </c>
      <c r="K3" s="46" t="s">
        <v>288</v>
      </c>
      <c r="L3" s="46" t="s">
        <v>287</v>
      </c>
      <c r="M3" s="46" t="s">
        <v>288</v>
      </c>
      <c r="N3" s="46" t="s">
        <v>287</v>
      </c>
      <c r="O3" s="46" t="s">
        <v>288</v>
      </c>
    </row>
    <row r="4" spans="1:15" x14ac:dyDescent="0.25">
      <c r="A4" s="52">
        <v>340</v>
      </c>
      <c r="B4" s="230">
        <v>29.8</v>
      </c>
      <c r="C4" s="231">
        <v>30.85</v>
      </c>
      <c r="D4" s="230">
        <v>39.35</v>
      </c>
      <c r="E4" s="231">
        <v>40.4</v>
      </c>
      <c r="F4" s="230">
        <v>46.2</v>
      </c>
      <c r="G4" s="231">
        <v>47.6</v>
      </c>
      <c r="I4" s="52">
        <v>340</v>
      </c>
      <c r="J4" s="230">
        <v>29.8</v>
      </c>
      <c r="K4" s="231">
        <v>30.85</v>
      </c>
      <c r="L4" s="230">
        <v>39.35</v>
      </c>
      <c r="M4" s="231">
        <v>40.4</v>
      </c>
      <c r="N4" s="230">
        <v>46.2</v>
      </c>
      <c r="O4" s="231">
        <v>47.6</v>
      </c>
    </row>
    <row r="5" spans="1:15" x14ac:dyDescent="0.25">
      <c r="A5" s="55">
        <f>A4-10</f>
        <v>330</v>
      </c>
      <c r="B5" s="38">
        <v>21.55</v>
      </c>
      <c r="C5" s="232">
        <v>22.4</v>
      </c>
      <c r="D5" s="38">
        <v>32.5</v>
      </c>
      <c r="E5" s="232">
        <v>33.9</v>
      </c>
      <c r="F5" s="38">
        <v>40</v>
      </c>
      <c r="G5" s="232">
        <v>41.15</v>
      </c>
      <c r="I5" s="55">
        <f>I4-10</f>
        <v>330</v>
      </c>
      <c r="J5" s="38">
        <v>21.55</v>
      </c>
      <c r="K5" s="232">
        <v>22.4</v>
      </c>
      <c r="L5" s="38">
        <v>32.5</v>
      </c>
      <c r="M5" s="232">
        <v>33.9</v>
      </c>
      <c r="N5" s="38">
        <v>40</v>
      </c>
      <c r="O5" s="232">
        <v>41.15</v>
      </c>
    </row>
    <row r="6" spans="1:15" x14ac:dyDescent="0.25">
      <c r="A6" s="55">
        <f t="shared" ref="A6:A9" si="0">A5-10</f>
        <v>320</v>
      </c>
      <c r="B6" s="38">
        <v>14.35</v>
      </c>
      <c r="C6" s="232">
        <v>15.3</v>
      </c>
      <c r="D6" s="38">
        <v>26.35</v>
      </c>
      <c r="E6" s="232">
        <v>27.25</v>
      </c>
      <c r="F6" s="38">
        <v>34.25</v>
      </c>
      <c r="G6" s="232">
        <v>35.65</v>
      </c>
      <c r="I6" s="55">
        <f t="shared" ref="I6:I9" si="1">I5-10</f>
        <v>320</v>
      </c>
      <c r="J6" s="38">
        <v>14.35</v>
      </c>
      <c r="K6" s="232">
        <v>15.3</v>
      </c>
      <c r="L6" s="38">
        <v>26.35</v>
      </c>
      <c r="M6" s="232">
        <v>27.25</v>
      </c>
      <c r="N6" s="38">
        <v>34.25</v>
      </c>
      <c r="O6" s="232">
        <v>35.65</v>
      </c>
    </row>
    <row r="7" spans="1:15" x14ac:dyDescent="0.25">
      <c r="A7" s="55">
        <f t="shared" si="0"/>
        <v>310</v>
      </c>
      <c r="B7" s="38">
        <v>8.65</v>
      </c>
      <c r="C7" s="232">
        <v>9</v>
      </c>
      <c r="D7" s="38">
        <v>20.45</v>
      </c>
      <c r="E7" s="232">
        <v>21.7</v>
      </c>
      <c r="F7" s="38">
        <v>28.65</v>
      </c>
      <c r="G7" s="232">
        <v>29.75</v>
      </c>
      <c r="I7" s="55">
        <f t="shared" si="1"/>
        <v>310</v>
      </c>
      <c r="J7" s="38">
        <v>8.65</v>
      </c>
      <c r="K7" s="232">
        <v>9</v>
      </c>
      <c r="L7" s="38">
        <v>20.45</v>
      </c>
      <c r="M7" s="232">
        <v>21.7</v>
      </c>
      <c r="N7" s="38">
        <v>28.65</v>
      </c>
      <c r="O7" s="232">
        <v>29.75</v>
      </c>
    </row>
    <row r="8" spans="1:15" x14ac:dyDescent="0.25">
      <c r="A8" s="55">
        <f t="shared" si="0"/>
        <v>300</v>
      </c>
      <c r="B8" s="38">
        <v>4.2</v>
      </c>
      <c r="C8" s="232">
        <v>5</v>
      </c>
      <c r="D8" s="38">
        <v>15.85</v>
      </c>
      <c r="E8" s="232">
        <v>16.25</v>
      </c>
      <c r="F8" s="38">
        <v>23.9</v>
      </c>
      <c r="G8" s="232">
        <v>24.75</v>
      </c>
      <c r="I8" s="55">
        <f t="shared" si="1"/>
        <v>300</v>
      </c>
      <c r="J8" s="38">
        <v>4.2</v>
      </c>
      <c r="K8" s="232">
        <v>5</v>
      </c>
      <c r="L8" s="38">
        <v>15.85</v>
      </c>
      <c r="M8" s="232">
        <v>16.25</v>
      </c>
      <c r="N8" s="38">
        <v>23.9</v>
      </c>
      <c r="O8" s="232">
        <v>24.75</v>
      </c>
    </row>
    <row r="9" spans="1:15" x14ac:dyDescent="0.25">
      <c r="A9" s="65">
        <f t="shared" si="0"/>
        <v>290</v>
      </c>
      <c r="B9" s="233">
        <v>1.9</v>
      </c>
      <c r="C9" s="234">
        <v>2.12</v>
      </c>
      <c r="D9" s="233">
        <v>11.35</v>
      </c>
      <c r="E9" s="234">
        <v>12</v>
      </c>
      <c r="F9" s="233">
        <v>19.5</v>
      </c>
      <c r="G9" s="234">
        <v>20.3</v>
      </c>
      <c r="I9" s="65">
        <f t="shared" si="1"/>
        <v>290</v>
      </c>
      <c r="J9" s="233">
        <v>1.9</v>
      </c>
      <c r="K9" s="234">
        <v>2.12</v>
      </c>
      <c r="L9" s="233">
        <v>11.35</v>
      </c>
      <c r="M9" s="234">
        <v>12</v>
      </c>
      <c r="N9" s="233">
        <v>19.5</v>
      </c>
      <c r="O9" s="234">
        <v>20.3</v>
      </c>
    </row>
  </sheetData>
  <mergeCells count="8">
    <mergeCell ref="A1:G1"/>
    <mergeCell ref="I1:O1"/>
    <mergeCell ref="B2:C2"/>
    <mergeCell ref="D2:E2"/>
    <mergeCell ref="F2:G2"/>
    <mergeCell ref="J2:K2"/>
    <mergeCell ref="L2:M2"/>
    <mergeCell ref="N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D929-F41F-44C4-B6EE-68BE7681F726}">
  <dimension ref="A1:O33"/>
  <sheetViews>
    <sheetView topLeftCell="A4" workbookViewId="0">
      <selection activeCell="K6" sqref="K6"/>
    </sheetView>
  </sheetViews>
  <sheetFormatPr baseColWidth="10" defaultColWidth="8.77734375" defaultRowHeight="13.2" x14ac:dyDescent="0.25"/>
  <cols>
    <col min="1" max="1" width="14.21875" style="42" bestFit="1" customWidth="1"/>
    <col min="2" max="7" width="8.77734375" style="42"/>
    <col min="8" max="8" width="19.44140625" style="42" customWidth="1"/>
    <col min="9" max="9" width="10.109375" style="42" bestFit="1" customWidth="1"/>
    <col min="10" max="16384" width="8.77734375" style="42"/>
  </cols>
  <sheetData>
    <row r="1" spans="1:15" x14ac:dyDescent="0.25">
      <c r="A1" s="702" t="s">
        <v>285</v>
      </c>
      <c r="B1" s="702"/>
      <c r="C1" s="702"/>
      <c r="D1" s="702"/>
      <c r="E1" s="702"/>
      <c r="F1" s="702"/>
      <c r="G1" s="702"/>
      <c r="I1" s="702" t="s">
        <v>113</v>
      </c>
      <c r="J1" s="702"/>
      <c r="K1" s="702"/>
      <c r="L1" s="702"/>
      <c r="M1" s="702"/>
      <c r="N1" s="702"/>
      <c r="O1" s="702"/>
    </row>
    <row r="2" spans="1:15" x14ac:dyDescent="0.25">
      <c r="A2" s="228">
        <v>43972</v>
      </c>
      <c r="B2" s="726">
        <v>44001</v>
      </c>
      <c r="C2" s="727"/>
      <c r="D2" s="726">
        <v>44092</v>
      </c>
      <c r="E2" s="727"/>
      <c r="F2" s="726">
        <v>44183</v>
      </c>
      <c r="G2" s="727"/>
      <c r="I2" s="229">
        <v>43972</v>
      </c>
      <c r="J2" s="728">
        <v>44001</v>
      </c>
      <c r="K2" s="702"/>
      <c r="L2" s="728">
        <v>44092</v>
      </c>
      <c r="M2" s="702"/>
      <c r="N2" s="728">
        <v>44183</v>
      </c>
      <c r="O2" s="702"/>
    </row>
    <row r="3" spans="1:15" x14ac:dyDescent="0.25">
      <c r="A3" s="43" t="s">
        <v>286</v>
      </c>
      <c r="B3" s="46" t="s">
        <v>287</v>
      </c>
      <c r="C3" s="46" t="s">
        <v>288</v>
      </c>
      <c r="D3" s="46" t="s">
        <v>287</v>
      </c>
      <c r="E3" s="46" t="s">
        <v>288</v>
      </c>
      <c r="F3" s="46" t="s">
        <v>287</v>
      </c>
      <c r="G3" s="46" t="s">
        <v>288</v>
      </c>
      <c r="I3" s="43" t="s">
        <v>286</v>
      </c>
      <c r="J3" s="46" t="s">
        <v>287</v>
      </c>
      <c r="K3" s="46" t="s">
        <v>288</v>
      </c>
      <c r="L3" s="46" t="s">
        <v>287</v>
      </c>
      <c r="M3" s="46" t="s">
        <v>288</v>
      </c>
      <c r="N3" s="46" t="s">
        <v>287</v>
      </c>
      <c r="O3" s="46" t="s">
        <v>288</v>
      </c>
    </row>
    <row r="4" spans="1:15" x14ac:dyDescent="0.25">
      <c r="A4" s="52">
        <v>340</v>
      </c>
      <c r="B4" s="230">
        <v>29.8</v>
      </c>
      <c r="C4" s="231">
        <v>30.85</v>
      </c>
      <c r="D4" s="230">
        <v>39.35</v>
      </c>
      <c r="E4" s="231">
        <v>40.4</v>
      </c>
      <c r="F4" s="230">
        <v>46.2</v>
      </c>
      <c r="G4" s="231">
        <v>47.6</v>
      </c>
      <c r="I4" s="52">
        <v>340</v>
      </c>
      <c r="J4" s="230">
        <v>29.8</v>
      </c>
      <c r="K4" s="231">
        <v>30.85</v>
      </c>
      <c r="L4" s="230">
        <v>39.35</v>
      </c>
      <c r="M4" s="231">
        <v>40.4</v>
      </c>
      <c r="N4" s="230">
        <v>46.2</v>
      </c>
      <c r="O4" s="231">
        <v>47.6</v>
      </c>
    </row>
    <row r="5" spans="1:15" x14ac:dyDescent="0.25">
      <c r="A5" s="55">
        <f>A4-10</f>
        <v>330</v>
      </c>
      <c r="B5" s="38">
        <v>21.55</v>
      </c>
      <c r="C5" s="232">
        <v>22.4</v>
      </c>
      <c r="D5" s="38">
        <v>32.5</v>
      </c>
      <c r="E5" s="232">
        <v>33.9</v>
      </c>
      <c r="F5" s="38">
        <v>40</v>
      </c>
      <c r="G5" s="232">
        <v>41.15</v>
      </c>
      <c r="I5" s="55">
        <f>I4-10</f>
        <v>330</v>
      </c>
      <c r="J5" s="38">
        <v>21.55</v>
      </c>
      <c r="K5" s="232">
        <v>22.4</v>
      </c>
      <c r="L5" s="38">
        <v>32.5</v>
      </c>
      <c r="M5" s="232">
        <v>33.9</v>
      </c>
      <c r="N5" s="38">
        <v>40</v>
      </c>
      <c r="O5" s="232">
        <v>41.15</v>
      </c>
    </row>
    <row r="6" spans="1:15" x14ac:dyDescent="0.25">
      <c r="A6" s="55">
        <f t="shared" ref="A6:A9" si="0">A5-10</f>
        <v>320</v>
      </c>
      <c r="B6" s="38">
        <v>14.35</v>
      </c>
      <c r="C6" s="232">
        <v>15.3</v>
      </c>
      <c r="D6" s="38">
        <v>26.35</v>
      </c>
      <c r="E6" s="232">
        <v>27.25</v>
      </c>
      <c r="F6" s="38">
        <v>34.25</v>
      </c>
      <c r="G6" s="232">
        <v>35.65</v>
      </c>
      <c r="I6" s="55">
        <f t="shared" ref="I6:I9" si="1">I5-10</f>
        <v>320</v>
      </c>
      <c r="J6" s="38">
        <v>14.35</v>
      </c>
      <c r="K6" s="232">
        <v>15.3</v>
      </c>
      <c r="L6" s="38">
        <v>26.35</v>
      </c>
      <c r="M6" s="232">
        <v>27.25</v>
      </c>
      <c r="N6" s="38">
        <v>34.25</v>
      </c>
      <c r="O6" s="232">
        <v>35.65</v>
      </c>
    </row>
    <row r="7" spans="1:15" x14ac:dyDescent="0.25">
      <c r="A7" s="55">
        <f t="shared" si="0"/>
        <v>310</v>
      </c>
      <c r="B7" s="38">
        <v>8.65</v>
      </c>
      <c r="C7" s="232">
        <v>9</v>
      </c>
      <c r="D7" s="38">
        <v>20.45</v>
      </c>
      <c r="E7" s="232">
        <v>21.7</v>
      </c>
      <c r="F7" s="38">
        <v>28.65</v>
      </c>
      <c r="G7" s="232">
        <v>29.75</v>
      </c>
      <c r="I7" s="55">
        <f t="shared" si="1"/>
        <v>310</v>
      </c>
      <c r="J7" s="38">
        <v>8.65</v>
      </c>
      <c r="K7" s="232">
        <v>9</v>
      </c>
      <c r="L7" s="38">
        <v>20.45</v>
      </c>
      <c r="M7" s="232">
        <v>21.7</v>
      </c>
      <c r="N7" s="38">
        <v>28.65</v>
      </c>
      <c r="O7" s="232">
        <v>29.75</v>
      </c>
    </row>
    <row r="8" spans="1:15" x14ac:dyDescent="0.25">
      <c r="A8" s="55">
        <f t="shared" si="0"/>
        <v>300</v>
      </c>
      <c r="B8" s="38">
        <v>4.2</v>
      </c>
      <c r="C8" s="232">
        <v>5</v>
      </c>
      <c r="D8" s="38">
        <v>15.85</v>
      </c>
      <c r="E8" s="232">
        <v>16.25</v>
      </c>
      <c r="F8" s="38">
        <v>23.9</v>
      </c>
      <c r="G8" s="232">
        <v>24.75</v>
      </c>
      <c r="I8" s="55">
        <f t="shared" si="1"/>
        <v>300</v>
      </c>
      <c r="J8" s="38">
        <v>4.2</v>
      </c>
      <c r="K8" s="232">
        <v>5</v>
      </c>
      <c r="L8" s="38">
        <v>15.85</v>
      </c>
      <c r="M8" s="232">
        <v>16.25</v>
      </c>
      <c r="N8" s="38">
        <v>23.9</v>
      </c>
      <c r="O8" s="232">
        <v>24.75</v>
      </c>
    </row>
    <row r="9" spans="1:15" x14ac:dyDescent="0.25">
      <c r="A9" s="65">
        <f t="shared" si="0"/>
        <v>290</v>
      </c>
      <c r="B9" s="233">
        <v>1.9</v>
      </c>
      <c r="C9" s="234">
        <v>2.12</v>
      </c>
      <c r="D9" s="233">
        <v>11.35</v>
      </c>
      <c r="E9" s="234">
        <v>12</v>
      </c>
      <c r="F9" s="233">
        <v>19.5</v>
      </c>
      <c r="G9" s="234">
        <v>20.3</v>
      </c>
      <c r="I9" s="65">
        <f t="shared" si="1"/>
        <v>290</v>
      </c>
      <c r="J9" s="233">
        <v>1.9</v>
      </c>
      <c r="K9" s="234">
        <v>2.12</v>
      </c>
      <c r="L9" s="233">
        <v>11.35</v>
      </c>
      <c r="M9" s="234">
        <v>12</v>
      </c>
      <c r="N9" s="233">
        <v>19.5</v>
      </c>
      <c r="O9" s="234">
        <v>20.3</v>
      </c>
    </row>
    <row r="11" spans="1:15" x14ac:dyDescent="0.25">
      <c r="A11" s="723" t="s">
        <v>131</v>
      </c>
      <c r="B11" s="235" t="s">
        <v>289</v>
      </c>
      <c r="C11" s="236"/>
      <c r="D11" s="236"/>
      <c r="E11" s="236"/>
      <c r="F11" s="236"/>
      <c r="G11" s="236"/>
      <c r="H11" s="237"/>
    </row>
    <row r="12" spans="1:15" x14ac:dyDescent="0.25">
      <c r="A12" s="723"/>
      <c r="B12" s="238" t="s">
        <v>290</v>
      </c>
      <c r="C12" s="239"/>
      <c r="D12" s="239"/>
      <c r="E12" s="239"/>
      <c r="F12" s="239"/>
      <c r="G12" s="239"/>
      <c r="H12" s="240"/>
    </row>
    <row r="13" spans="1:15" x14ac:dyDescent="0.25">
      <c r="A13" s="723"/>
      <c r="B13" s="43" t="s">
        <v>291</v>
      </c>
      <c r="C13" s="241" t="s">
        <v>292</v>
      </c>
      <c r="D13" s="242"/>
      <c r="E13" s="242"/>
      <c r="F13" s="242"/>
      <c r="G13" s="242"/>
      <c r="H13" s="243"/>
    </row>
    <row r="14" spans="1:15" x14ac:dyDescent="0.25">
      <c r="A14" s="723"/>
      <c r="B14" s="43" t="s">
        <v>293</v>
      </c>
      <c r="C14" s="238" t="s">
        <v>294</v>
      </c>
      <c r="D14" s="239"/>
      <c r="E14" s="239"/>
      <c r="F14" s="239"/>
      <c r="G14" s="239"/>
      <c r="H14" s="240"/>
    </row>
    <row r="15" spans="1:15" x14ac:dyDescent="0.25">
      <c r="A15" s="714" t="s">
        <v>132</v>
      </c>
      <c r="B15" s="241" t="s">
        <v>295</v>
      </c>
      <c r="C15" s="242"/>
      <c r="D15" s="242"/>
      <c r="E15" s="242"/>
      <c r="F15" s="242"/>
      <c r="G15" s="242"/>
      <c r="H15" s="243"/>
    </row>
    <row r="16" spans="1:15" x14ac:dyDescent="0.25">
      <c r="A16" s="715"/>
      <c r="B16" s="59" t="s">
        <v>296</v>
      </c>
      <c r="C16" s="46" t="s">
        <v>297</v>
      </c>
      <c r="D16" s="46" t="s">
        <v>298</v>
      </c>
      <c r="E16" s="46" t="s">
        <v>299</v>
      </c>
      <c r="F16" s="61" t="s">
        <v>297</v>
      </c>
      <c r="G16" s="61" t="s">
        <v>298</v>
      </c>
      <c r="H16" s="61" t="s">
        <v>299</v>
      </c>
    </row>
    <row r="17" spans="1:8" x14ac:dyDescent="0.25">
      <c r="A17" s="715"/>
      <c r="B17" s="59" t="s">
        <v>300</v>
      </c>
      <c r="C17" s="729" t="s">
        <v>301</v>
      </c>
      <c r="D17" s="721"/>
      <c r="E17" s="722"/>
      <c r="F17" s="730" t="s">
        <v>302</v>
      </c>
      <c r="G17" s="731"/>
      <c r="H17" s="732"/>
    </row>
    <row r="18" spans="1:8" x14ac:dyDescent="0.25">
      <c r="A18" s="715"/>
      <c r="B18" s="45">
        <f>A4</f>
        <v>340</v>
      </c>
      <c r="C18" s="245">
        <f>C4</f>
        <v>30.85</v>
      </c>
      <c r="D18" s="245">
        <f>E4</f>
        <v>40.4</v>
      </c>
      <c r="E18" s="246">
        <f>G4</f>
        <v>47.6</v>
      </c>
      <c r="F18" s="247">
        <f>$B18-C18</f>
        <v>309.14999999999998</v>
      </c>
      <c r="G18" s="248">
        <f t="shared" ref="G18:H23" si="2">$B18-D18</f>
        <v>299.60000000000002</v>
      </c>
      <c r="H18" s="248">
        <f t="shared" si="2"/>
        <v>292.39999999999998</v>
      </c>
    </row>
    <row r="19" spans="1:8" x14ac:dyDescent="0.25">
      <c r="A19" s="715"/>
      <c r="B19" s="56">
        <f t="shared" ref="B19:B23" si="3">A5</f>
        <v>330</v>
      </c>
      <c r="C19" s="249">
        <f t="shared" ref="C19:C23" si="4">C5</f>
        <v>22.4</v>
      </c>
      <c r="D19" s="249">
        <f t="shared" ref="D19:D23" si="5">E5</f>
        <v>33.9</v>
      </c>
      <c r="E19" s="85">
        <f t="shared" ref="E19:E23" si="6">G5</f>
        <v>41.15</v>
      </c>
      <c r="F19" s="250">
        <f t="shared" ref="F19:F23" si="7">$B19-C19</f>
        <v>307.60000000000002</v>
      </c>
      <c r="G19" s="251">
        <f t="shared" si="2"/>
        <v>296.10000000000002</v>
      </c>
      <c r="H19" s="251">
        <f t="shared" si="2"/>
        <v>288.85000000000002</v>
      </c>
    </row>
    <row r="20" spans="1:8" x14ac:dyDescent="0.25">
      <c r="A20" s="715"/>
      <c r="B20" s="56">
        <f t="shared" si="3"/>
        <v>320</v>
      </c>
      <c r="C20" s="249">
        <f t="shared" si="4"/>
        <v>15.3</v>
      </c>
      <c r="D20" s="249">
        <f t="shared" si="5"/>
        <v>27.25</v>
      </c>
      <c r="E20" s="85">
        <f t="shared" si="6"/>
        <v>35.65</v>
      </c>
      <c r="F20" s="250">
        <f t="shared" si="7"/>
        <v>304.7</v>
      </c>
      <c r="G20" s="251">
        <f t="shared" si="2"/>
        <v>292.75</v>
      </c>
      <c r="H20" s="251">
        <f t="shared" si="2"/>
        <v>284.35000000000002</v>
      </c>
    </row>
    <row r="21" spans="1:8" x14ac:dyDescent="0.25">
      <c r="A21" s="715"/>
      <c r="B21" s="56">
        <f t="shared" si="3"/>
        <v>310</v>
      </c>
      <c r="C21" s="249">
        <f t="shared" si="4"/>
        <v>9</v>
      </c>
      <c r="D21" s="249">
        <f t="shared" si="5"/>
        <v>21.7</v>
      </c>
      <c r="E21" s="85">
        <f t="shared" si="6"/>
        <v>29.75</v>
      </c>
      <c r="F21" s="250">
        <f t="shared" si="7"/>
        <v>301</v>
      </c>
      <c r="G21" s="251">
        <f t="shared" si="2"/>
        <v>288.3</v>
      </c>
      <c r="H21" s="251">
        <f t="shared" si="2"/>
        <v>280.25</v>
      </c>
    </row>
    <row r="22" spans="1:8" x14ac:dyDescent="0.25">
      <c r="A22" s="715"/>
      <c r="B22" s="56">
        <f t="shared" si="3"/>
        <v>300</v>
      </c>
      <c r="C22" s="249">
        <f t="shared" si="4"/>
        <v>5</v>
      </c>
      <c r="D22" s="249">
        <f t="shared" si="5"/>
        <v>16.25</v>
      </c>
      <c r="E22" s="85">
        <f t="shared" si="6"/>
        <v>24.75</v>
      </c>
      <c r="F22" s="250">
        <f t="shared" si="7"/>
        <v>295</v>
      </c>
      <c r="G22" s="251">
        <f t="shared" si="2"/>
        <v>283.75</v>
      </c>
      <c r="H22" s="251">
        <f t="shared" si="2"/>
        <v>275.25</v>
      </c>
    </row>
    <row r="23" spans="1:8" x14ac:dyDescent="0.25">
      <c r="A23" s="715"/>
      <c r="B23" s="58">
        <f t="shared" si="3"/>
        <v>290</v>
      </c>
      <c r="C23" s="252">
        <f t="shared" si="4"/>
        <v>2.12</v>
      </c>
      <c r="D23" s="252">
        <f t="shared" si="5"/>
        <v>12</v>
      </c>
      <c r="E23" s="253">
        <f t="shared" si="6"/>
        <v>20.3</v>
      </c>
      <c r="F23" s="197">
        <f t="shared" si="7"/>
        <v>287.88</v>
      </c>
      <c r="G23" s="198">
        <f t="shared" si="2"/>
        <v>278</v>
      </c>
      <c r="H23" s="198">
        <f t="shared" si="2"/>
        <v>269.7</v>
      </c>
    </row>
    <row r="24" spans="1:8" x14ac:dyDescent="0.25">
      <c r="A24" s="715"/>
      <c r="B24" s="43" t="s">
        <v>291</v>
      </c>
      <c r="C24" s="235" t="s">
        <v>303</v>
      </c>
      <c r="D24" s="236"/>
      <c r="E24" s="236"/>
      <c r="F24" s="236"/>
      <c r="G24" s="236"/>
      <c r="H24" s="237"/>
    </row>
    <row r="25" spans="1:8" x14ac:dyDescent="0.25">
      <c r="A25" s="715"/>
      <c r="B25" s="254" t="s">
        <v>293</v>
      </c>
      <c r="C25" s="235" t="s">
        <v>304</v>
      </c>
      <c r="D25" s="236"/>
      <c r="E25" s="236"/>
      <c r="F25" s="236"/>
      <c r="G25" s="236"/>
      <c r="H25" s="237"/>
    </row>
    <row r="26" spans="1:8" x14ac:dyDescent="0.25">
      <c r="A26" s="716"/>
      <c r="B26" s="238"/>
      <c r="C26" s="238" t="s">
        <v>305</v>
      </c>
      <c r="D26" s="239"/>
      <c r="E26" s="239"/>
      <c r="F26" s="239"/>
      <c r="G26" s="239"/>
      <c r="H26" s="240"/>
    </row>
    <row r="27" spans="1:8" x14ac:dyDescent="0.25">
      <c r="A27" s="714" t="s">
        <v>306</v>
      </c>
      <c r="B27" s="235" t="s">
        <v>307</v>
      </c>
      <c r="C27" s="236"/>
      <c r="D27" s="236"/>
      <c r="E27" s="236"/>
      <c r="F27" s="236"/>
      <c r="G27" s="236"/>
      <c r="H27" s="237"/>
    </row>
    <row r="28" spans="1:8" x14ac:dyDescent="0.25">
      <c r="A28" s="715"/>
      <c r="B28" s="238" t="s">
        <v>308</v>
      </c>
      <c r="C28" s="239"/>
      <c r="D28" s="239"/>
      <c r="E28" s="239"/>
      <c r="F28" s="239"/>
      <c r="G28" s="239"/>
      <c r="H28" s="240"/>
    </row>
    <row r="29" spans="1:8" x14ac:dyDescent="0.25">
      <c r="A29" s="715"/>
      <c r="B29" s="235" t="s">
        <v>309</v>
      </c>
      <c r="C29" s="236"/>
      <c r="D29" s="236"/>
      <c r="E29" s="236"/>
      <c r="F29" s="236"/>
      <c r="G29" s="236"/>
      <c r="H29" s="237"/>
    </row>
    <row r="30" spans="1:8" x14ac:dyDescent="0.25">
      <c r="A30" s="715"/>
      <c r="B30" s="238" t="s">
        <v>310</v>
      </c>
      <c r="C30" s="239"/>
      <c r="D30" s="239"/>
      <c r="E30" s="239"/>
      <c r="F30" s="239"/>
      <c r="G30" s="239"/>
      <c r="H30" s="240"/>
    </row>
    <row r="31" spans="1:8" x14ac:dyDescent="0.25">
      <c r="A31" s="715"/>
      <c r="B31" s="235" t="s">
        <v>311</v>
      </c>
      <c r="C31" s="236"/>
      <c r="D31" s="236"/>
      <c r="E31" s="236"/>
      <c r="F31" s="236"/>
      <c r="G31" s="236"/>
      <c r="H31" s="237"/>
    </row>
    <row r="32" spans="1:8" x14ac:dyDescent="0.25">
      <c r="A32" s="715"/>
      <c r="B32" s="254" t="s">
        <v>312</v>
      </c>
      <c r="H32" s="255"/>
    </row>
    <row r="33" spans="1:8" x14ac:dyDescent="0.25">
      <c r="A33" s="716"/>
      <c r="B33" s="238" t="s">
        <v>313</v>
      </c>
      <c r="C33" s="239"/>
      <c r="D33" s="239"/>
      <c r="E33" s="239"/>
      <c r="F33" s="239"/>
      <c r="G33" s="239"/>
      <c r="H33" s="240"/>
    </row>
  </sheetData>
  <mergeCells count="13">
    <mergeCell ref="A1:G1"/>
    <mergeCell ref="I1:O1"/>
    <mergeCell ref="B2:C2"/>
    <mergeCell ref="D2:E2"/>
    <mergeCell ref="F2:G2"/>
    <mergeCell ref="J2:K2"/>
    <mergeCell ref="L2:M2"/>
    <mergeCell ref="N2:O2"/>
    <mergeCell ref="A11:A14"/>
    <mergeCell ref="A15:A26"/>
    <mergeCell ref="C17:E17"/>
    <mergeCell ref="F17:H17"/>
    <mergeCell ref="A27:A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FE90-A79C-4887-9640-7313803BB3F0}">
  <dimension ref="A1:E18"/>
  <sheetViews>
    <sheetView zoomScale="116" zoomScaleNormal="116" workbookViewId="0">
      <selection activeCell="D17" sqref="D17"/>
    </sheetView>
  </sheetViews>
  <sheetFormatPr baseColWidth="10" defaultColWidth="9.21875" defaultRowHeight="13.2" x14ac:dyDescent="0.25"/>
  <cols>
    <col min="1" max="1" width="35.77734375" style="68" bestFit="1" customWidth="1"/>
    <col min="2" max="2" width="7.44140625" style="68" bestFit="1" customWidth="1"/>
    <col min="3" max="3" width="10.21875" style="68" bestFit="1" customWidth="1"/>
    <col min="4" max="4" width="7.5546875" style="68" bestFit="1" customWidth="1"/>
    <col min="5" max="5" width="10.21875" style="68" bestFit="1" customWidth="1"/>
    <col min="6" max="16384" width="9.21875" style="68"/>
  </cols>
  <sheetData>
    <row r="1" spans="1:5" x14ac:dyDescent="0.25">
      <c r="B1" s="152"/>
      <c r="C1" s="256" t="s">
        <v>5</v>
      </c>
      <c r="D1" s="257"/>
    </row>
    <row r="2" spans="1:5" x14ac:dyDescent="0.25">
      <c r="A2" s="69" t="s">
        <v>123</v>
      </c>
      <c r="B2" s="1">
        <v>0.1</v>
      </c>
      <c r="C2" s="1">
        <v>0.2</v>
      </c>
      <c r="D2" s="1">
        <v>0.3</v>
      </c>
    </row>
    <row r="3" spans="1:5" x14ac:dyDescent="0.25">
      <c r="A3" s="70">
        <v>1</v>
      </c>
      <c r="B3" s="258">
        <f>(1+(B$2/$A3))^$A3</f>
        <v>1.1000000000000001</v>
      </c>
      <c r="C3" s="258">
        <f>(1+(C$2/$A3))^$A3</f>
        <v>1.2</v>
      </c>
      <c r="D3" s="258">
        <f>(1+(D$2/$A3))^$A3</f>
        <v>1.3</v>
      </c>
      <c r="E3" s="68" t="s">
        <v>62</v>
      </c>
    </row>
    <row r="4" spans="1:5" x14ac:dyDescent="0.25">
      <c r="A4" s="80">
        <v>2</v>
      </c>
      <c r="B4" s="259">
        <f t="shared" ref="B4:D17" si="0">(1+(B$2/$A4))^$A4</f>
        <v>1.1025</v>
      </c>
      <c r="C4" s="259">
        <f t="shared" si="0"/>
        <v>1.2100000000000002</v>
      </c>
      <c r="D4" s="259">
        <f t="shared" si="0"/>
        <v>1.3224999999999998</v>
      </c>
      <c r="E4" s="68" t="s">
        <v>63</v>
      </c>
    </row>
    <row r="5" spans="1:5" x14ac:dyDescent="0.25">
      <c r="A5" s="80">
        <v>3</v>
      </c>
      <c r="B5" s="259">
        <f t="shared" si="0"/>
        <v>1.1033703703703706</v>
      </c>
      <c r="C5" s="259">
        <f t="shared" si="0"/>
        <v>1.2136296296296296</v>
      </c>
      <c r="D5" s="259">
        <f t="shared" si="0"/>
        <v>1.3310000000000004</v>
      </c>
    </row>
    <row r="6" spans="1:5" x14ac:dyDescent="0.25">
      <c r="A6" s="80">
        <v>4</v>
      </c>
      <c r="B6" s="259">
        <f t="shared" si="0"/>
        <v>1.1038128906249998</v>
      </c>
      <c r="C6" s="259">
        <f t="shared" si="0"/>
        <v>1.21550625</v>
      </c>
      <c r="D6" s="259">
        <f t="shared" si="0"/>
        <v>1.3354691406249999</v>
      </c>
      <c r="E6" s="68" t="s">
        <v>64</v>
      </c>
    </row>
    <row r="7" spans="1:5" x14ac:dyDescent="0.25">
      <c r="A7" s="80">
        <v>5</v>
      </c>
      <c r="B7" s="259">
        <f t="shared" si="0"/>
        <v>1.1040808032</v>
      </c>
      <c r="C7" s="259">
        <f t="shared" si="0"/>
        <v>1.2166529024000003</v>
      </c>
      <c r="D7" s="259">
        <f t="shared" si="0"/>
        <v>1.3382255776000005</v>
      </c>
    </row>
    <row r="8" spans="1:5" x14ac:dyDescent="0.25">
      <c r="A8" s="80">
        <v>6</v>
      </c>
      <c r="B8" s="259">
        <f t="shared" si="0"/>
        <v>1.1042604244041494</v>
      </c>
      <c r="C8" s="259">
        <f t="shared" si="0"/>
        <v>1.2174261742112489</v>
      </c>
      <c r="D8" s="259">
        <f t="shared" si="0"/>
        <v>1.340095640625</v>
      </c>
    </row>
    <row r="9" spans="1:5" x14ac:dyDescent="0.25">
      <c r="A9" s="80">
        <v>7</v>
      </c>
      <c r="B9" s="259">
        <f t="shared" si="0"/>
        <v>1.1043892253824019</v>
      </c>
      <c r="C9" s="259">
        <f t="shared" si="0"/>
        <v>1.2179829109455116</v>
      </c>
      <c r="D9" s="259">
        <f t="shared" si="0"/>
        <v>1.3414476862892406</v>
      </c>
    </row>
    <row r="10" spans="1:5" x14ac:dyDescent="0.25">
      <c r="A10" s="80">
        <v>8</v>
      </c>
      <c r="B10" s="259">
        <f t="shared" si="0"/>
        <v>1.1044861011814122</v>
      </c>
      <c r="C10" s="259">
        <f t="shared" si="0"/>
        <v>1.2184028975099177</v>
      </c>
      <c r="D10" s="259">
        <f t="shared" si="0"/>
        <v>1.3424707842701931</v>
      </c>
    </row>
    <row r="11" spans="1:5" x14ac:dyDescent="0.25">
      <c r="A11" s="80">
        <v>9</v>
      </c>
      <c r="B11" s="259">
        <f t="shared" si="0"/>
        <v>1.1045616127178763</v>
      </c>
      <c r="C11" s="259">
        <f t="shared" si="0"/>
        <v>1.218731008536196</v>
      </c>
      <c r="D11" s="259">
        <f t="shared" si="0"/>
        <v>1.3432719687380492</v>
      </c>
    </row>
    <row r="12" spans="1:5" x14ac:dyDescent="0.25">
      <c r="A12" s="80">
        <v>10</v>
      </c>
      <c r="B12" s="259">
        <f t="shared" si="0"/>
        <v>1.1046221254112047</v>
      </c>
      <c r="C12" s="259">
        <f t="shared" si="0"/>
        <v>1.2189944199947571</v>
      </c>
      <c r="D12" s="259">
        <f t="shared" si="0"/>
        <v>1.3439163793441218</v>
      </c>
    </row>
    <row r="13" spans="1:5" x14ac:dyDescent="0.25">
      <c r="A13" s="80">
        <v>11</v>
      </c>
      <c r="B13" s="259">
        <f t="shared" si="0"/>
        <v>1.104671704381059</v>
      </c>
      <c r="C13" s="259">
        <f t="shared" si="0"/>
        <v>1.2192105517086396</v>
      </c>
      <c r="D13" s="259">
        <f t="shared" si="0"/>
        <v>1.3444459325472218</v>
      </c>
    </row>
    <row r="14" spans="1:5" x14ac:dyDescent="0.25">
      <c r="A14" s="80">
        <v>12</v>
      </c>
      <c r="B14" s="259">
        <f t="shared" si="0"/>
        <v>1.1047130674412968</v>
      </c>
      <c r="C14" s="259">
        <f t="shared" si="0"/>
        <v>1.2193910849052318</v>
      </c>
      <c r="D14" s="259">
        <f t="shared" si="0"/>
        <v>1.3448888242462975</v>
      </c>
    </row>
    <row r="15" spans="1:5" x14ac:dyDescent="0.25">
      <c r="A15" s="80">
        <v>20</v>
      </c>
      <c r="B15" s="259">
        <f t="shared" si="0"/>
        <v>1.1048955771867275</v>
      </c>
      <c r="C15" s="259">
        <f t="shared" si="0"/>
        <v>1.220190039947967</v>
      </c>
      <c r="D15" s="259">
        <f t="shared" si="0"/>
        <v>1.3468550065500522</v>
      </c>
    </row>
    <row r="16" spans="1:5" x14ac:dyDescent="0.25">
      <c r="A16" s="80">
        <v>50</v>
      </c>
      <c r="B16" s="259">
        <f t="shared" si="0"/>
        <v>1.1050605536302476</v>
      </c>
      <c r="C16" s="259">
        <f t="shared" si="0"/>
        <v>1.220915593170907</v>
      </c>
      <c r="D16" s="259">
        <f t="shared" si="0"/>
        <v>1.3486493145631322</v>
      </c>
    </row>
    <row r="17" spans="1:5" x14ac:dyDescent="0.25">
      <c r="A17" s="83">
        <v>100</v>
      </c>
      <c r="B17" s="260">
        <f t="shared" si="0"/>
        <v>1.105115697720753</v>
      </c>
      <c r="C17" s="260">
        <f t="shared" si="0"/>
        <v>1.2211588271895892</v>
      </c>
      <c r="D17" s="260">
        <f t="shared" si="0"/>
        <v>1.3492527193664896</v>
      </c>
    </row>
    <row r="18" spans="1:5" x14ac:dyDescent="0.25">
      <c r="A18" s="261" t="s">
        <v>60</v>
      </c>
      <c r="B18" s="262">
        <f>EXP(B2)</f>
        <v>1.1051709180756477</v>
      </c>
      <c r="C18" s="262">
        <f>EXP(C2)</f>
        <v>1.2214027581601699</v>
      </c>
      <c r="D18" s="262">
        <f>EXP(D2)</f>
        <v>1.3498588075760032</v>
      </c>
      <c r="E18" s="68" t="s">
        <v>61</v>
      </c>
    </row>
  </sheetData>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AB54E-4FC1-4554-9704-2BD68E4351B8}">
  <dimension ref="A2:C24"/>
  <sheetViews>
    <sheetView zoomScale="108" zoomScaleNormal="108" workbookViewId="0">
      <selection activeCell="A22" sqref="A22"/>
    </sheetView>
  </sheetViews>
  <sheetFormatPr baseColWidth="10" defaultColWidth="9.21875" defaultRowHeight="13.2" x14ac:dyDescent="0.25"/>
  <cols>
    <col min="1" max="1" width="9.77734375" style="68" bestFit="1" customWidth="1"/>
    <col min="2" max="2" width="18.21875" style="68" bestFit="1" customWidth="1"/>
    <col min="3" max="4" width="10.21875" style="68" bestFit="1" customWidth="1"/>
    <col min="5" max="16384" width="9.21875" style="68"/>
  </cols>
  <sheetData>
    <row r="2" spans="1:3" x14ac:dyDescent="0.25">
      <c r="A2" s="68" t="s">
        <v>7</v>
      </c>
      <c r="B2" s="69" t="s">
        <v>6</v>
      </c>
      <c r="C2" s="69" t="s">
        <v>130</v>
      </c>
    </row>
    <row r="3" spans="1:3" x14ac:dyDescent="0.25">
      <c r="B3" s="72">
        <v>45292</v>
      </c>
      <c r="C3" s="73">
        <v>100</v>
      </c>
    </row>
    <row r="4" spans="1:3" x14ac:dyDescent="0.25">
      <c r="B4" s="74">
        <v>45657</v>
      </c>
      <c r="C4" s="75">
        <v>130</v>
      </c>
    </row>
    <row r="5" spans="1:3" x14ac:dyDescent="0.25">
      <c r="B5" s="69" t="s">
        <v>133</v>
      </c>
      <c r="C5" s="76">
        <f>(C4/C3)-1</f>
        <v>0.30000000000000004</v>
      </c>
    </row>
    <row r="6" spans="1:3" x14ac:dyDescent="0.25">
      <c r="B6" s="77" t="s">
        <v>144</v>
      </c>
      <c r="C6" s="78">
        <f>((C4/C3)-1)/((B4-B3)/365)</f>
        <v>0.30000000000000004</v>
      </c>
    </row>
    <row r="8" spans="1:3" x14ac:dyDescent="0.25">
      <c r="A8" s="68" t="s">
        <v>8</v>
      </c>
      <c r="B8" s="69" t="s">
        <v>6</v>
      </c>
      <c r="C8" s="69" t="s">
        <v>130</v>
      </c>
    </row>
    <row r="9" spans="1:3" x14ac:dyDescent="0.25">
      <c r="B9" s="72">
        <f>B3</f>
        <v>45292</v>
      </c>
      <c r="C9" s="73">
        <v>100</v>
      </c>
    </row>
    <row r="10" spans="1:3" x14ac:dyDescent="0.25">
      <c r="B10" s="74">
        <f>EDATE(B4,6)</f>
        <v>45838</v>
      </c>
      <c r="C10" s="75">
        <v>130</v>
      </c>
    </row>
    <row r="11" spans="1:3" x14ac:dyDescent="0.25">
      <c r="B11" s="69" t="s">
        <v>133</v>
      </c>
      <c r="C11" s="76">
        <f>(C10/C9)-1</f>
        <v>0.30000000000000004</v>
      </c>
    </row>
    <row r="12" spans="1:3" x14ac:dyDescent="0.25">
      <c r="B12" s="77" t="s">
        <v>144</v>
      </c>
      <c r="C12" s="78">
        <f>((C10/C9)-1)/((B10-B9)/365)</f>
        <v>0.20054945054945056</v>
      </c>
    </row>
    <row r="14" spans="1:3" x14ac:dyDescent="0.25">
      <c r="A14" s="68" t="s">
        <v>134</v>
      </c>
      <c r="B14" s="69" t="s">
        <v>6</v>
      </c>
      <c r="C14" s="69" t="s">
        <v>130</v>
      </c>
    </row>
    <row r="15" spans="1:3" x14ac:dyDescent="0.25">
      <c r="B15" s="72">
        <f>B3</f>
        <v>45292</v>
      </c>
      <c r="C15" s="73">
        <v>100</v>
      </c>
    </row>
    <row r="16" spans="1:3" x14ac:dyDescent="0.25">
      <c r="B16" s="74">
        <f>EDATE(B4,12)</f>
        <v>46022</v>
      </c>
      <c r="C16" s="75">
        <v>130</v>
      </c>
    </row>
    <row r="17" spans="1:3" x14ac:dyDescent="0.25">
      <c r="B17" s="69" t="s">
        <v>133</v>
      </c>
      <c r="C17" s="76">
        <f>(C16/C15)-1</f>
        <v>0.30000000000000004</v>
      </c>
    </row>
    <row r="18" spans="1:3" x14ac:dyDescent="0.25">
      <c r="B18" s="77" t="s">
        <v>144</v>
      </c>
      <c r="C18" s="78">
        <f>((C16/C15)-1)/((B16-B15)/365)</f>
        <v>0.15000000000000002</v>
      </c>
    </row>
    <row r="20" spans="1:3" x14ac:dyDescent="0.25">
      <c r="A20" s="68" t="s">
        <v>135</v>
      </c>
      <c r="B20" s="69" t="s">
        <v>6</v>
      </c>
      <c r="C20" s="69" t="s">
        <v>130</v>
      </c>
    </row>
    <row r="21" spans="1:3" x14ac:dyDescent="0.25">
      <c r="B21" s="72">
        <f>B15</f>
        <v>45292</v>
      </c>
      <c r="C21" s="73">
        <v>100</v>
      </c>
    </row>
    <row r="22" spans="1:3" x14ac:dyDescent="0.25">
      <c r="B22" s="74">
        <f>EDATE(B4,108)</f>
        <v>48944</v>
      </c>
      <c r="C22" s="75">
        <v>130</v>
      </c>
    </row>
    <row r="23" spans="1:3" x14ac:dyDescent="0.25">
      <c r="B23" s="69" t="s">
        <v>133</v>
      </c>
      <c r="C23" s="76">
        <f>(C22/C21)-1</f>
        <v>0.30000000000000004</v>
      </c>
    </row>
    <row r="24" spans="1:3" x14ac:dyDescent="0.25">
      <c r="B24" s="77" t="s">
        <v>144</v>
      </c>
      <c r="C24" s="78">
        <f>((C22/C21)-1)/((B22-B21)/365)</f>
        <v>2.9983570646221251E-2</v>
      </c>
    </row>
  </sheetData>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83D7-E957-46F0-B230-4A212E91552E}">
  <dimension ref="A2:G24"/>
  <sheetViews>
    <sheetView zoomScale="108" zoomScaleNormal="108" workbookViewId="0">
      <selection activeCell="G6" sqref="G6"/>
    </sheetView>
  </sheetViews>
  <sheetFormatPr baseColWidth="10" defaultColWidth="9.21875" defaultRowHeight="13.2" x14ac:dyDescent="0.25"/>
  <cols>
    <col min="1" max="1" width="9.77734375" style="68" bestFit="1" customWidth="1"/>
    <col min="2" max="2" width="18.21875" style="68" bestFit="1" customWidth="1"/>
    <col min="3" max="4" width="10.21875" style="68" bestFit="1" customWidth="1"/>
    <col min="5" max="5" width="24.5546875" style="68" bestFit="1" customWidth="1"/>
    <col min="6" max="7" width="10.21875" style="68" bestFit="1" customWidth="1"/>
    <col min="8" max="16384" width="9.21875" style="68"/>
  </cols>
  <sheetData>
    <row r="2" spans="1:7" x14ac:dyDescent="0.25">
      <c r="A2" s="68" t="s">
        <v>7</v>
      </c>
      <c r="B2" s="69" t="s">
        <v>6</v>
      </c>
      <c r="C2" s="69" t="s">
        <v>130</v>
      </c>
      <c r="E2" s="70" t="s">
        <v>6</v>
      </c>
      <c r="F2" s="71" t="s">
        <v>131</v>
      </c>
      <c r="G2" s="70" t="s">
        <v>132</v>
      </c>
    </row>
    <row r="3" spans="1:7" x14ac:dyDescent="0.25">
      <c r="B3" s="72">
        <v>45292</v>
      </c>
      <c r="C3" s="73">
        <v>100</v>
      </c>
      <c r="E3" s="72">
        <f>B3</f>
        <v>45292</v>
      </c>
      <c r="F3" s="569">
        <v>100</v>
      </c>
      <c r="G3" s="569">
        <v>100</v>
      </c>
    </row>
    <row r="4" spans="1:7" x14ac:dyDescent="0.25">
      <c r="B4" s="74">
        <v>45657</v>
      </c>
      <c r="C4" s="75">
        <v>130</v>
      </c>
      <c r="E4" s="570">
        <f>B4</f>
        <v>45657</v>
      </c>
      <c r="F4" s="571">
        <v>0</v>
      </c>
      <c r="G4" s="571">
        <f>G3*(1+$G$14)</f>
        <v>130</v>
      </c>
    </row>
    <row r="5" spans="1:7" x14ac:dyDescent="0.25">
      <c r="B5" s="69" t="s">
        <v>133</v>
      </c>
      <c r="C5" s="76">
        <f>(C4/C3)-1</f>
        <v>0.30000000000000004</v>
      </c>
      <c r="E5" s="570">
        <f>EDATE(E4,12)</f>
        <v>46022</v>
      </c>
      <c r="F5" s="571">
        <v>0</v>
      </c>
      <c r="G5" s="571">
        <f t="shared" ref="G5:G12" si="0">G4*(1+$G$14)</f>
        <v>169</v>
      </c>
    </row>
    <row r="6" spans="1:7" x14ac:dyDescent="0.25">
      <c r="B6" s="77" t="s">
        <v>144</v>
      </c>
      <c r="C6" s="78">
        <f>((C4/C3)-1)/((B4-B3)/365)</f>
        <v>0.30000000000000004</v>
      </c>
      <c r="E6" s="570">
        <f t="shared" ref="E6:E13" si="1">EDATE(E5,12)</f>
        <v>46387</v>
      </c>
      <c r="F6" s="571">
        <v>0</v>
      </c>
      <c r="G6" s="571">
        <f t="shared" si="0"/>
        <v>219.70000000000002</v>
      </c>
    </row>
    <row r="7" spans="1:7" x14ac:dyDescent="0.25">
      <c r="E7" s="570">
        <f t="shared" si="1"/>
        <v>46752</v>
      </c>
      <c r="F7" s="571">
        <v>0</v>
      </c>
      <c r="G7" s="571">
        <f t="shared" si="0"/>
        <v>285.61</v>
      </c>
    </row>
    <row r="8" spans="1:7" x14ac:dyDescent="0.25">
      <c r="A8" s="68" t="s">
        <v>8</v>
      </c>
      <c r="B8" s="69" t="s">
        <v>6</v>
      </c>
      <c r="C8" s="69" t="s">
        <v>130</v>
      </c>
      <c r="E8" s="570">
        <f t="shared" si="1"/>
        <v>47118</v>
      </c>
      <c r="F8" s="571">
        <v>0</v>
      </c>
      <c r="G8" s="571">
        <f t="shared" si="0"/>
        <v>371.29300000000001</v>
      </c>
    </row>
    <row r="9" spans="1:7" x14ac:dyDescent="0.25">
      <c r="B9" s="72">
        <f>B3</f>
        <v>45292</v>
      </c>
      <c r="C9" s="73">
        <v>100</v>
      </c>
      <c r="E9" s="570">
        <f t="shared" si="1"/>
        <v>47483</v>
      </c>
      <c r="F9" s="571">
        <v>0</v>
      </c>
      <c r="G9" s="571">
        <f t="shared" si="0"/>
        <v>482.68090000000001</v>
      </c>
    </row>
    <row r="10" spans="1:7" x14ac:dyDescent="0.25">
      <c r="B10" s="74">
        <f>EDATE(B4,6)</f>
        <v>45838</v>
      </c>
      <c r="C10" s="75">
        <v>130</v>
      </c>
      <c r="E10" s="570">
        <f t="shared" si="1"/>
        <v>47848</v>
      </c>
      <c r="F10" s="571">
        <v>0</v>
      </c>
      <c r="G10" s="571">
        <f t="shared" si="0"/>
        <v>627.48517000000004</v>
      </c>
    </row>
    <row r="11" spans="1:7" x14ac:dyDescent="0.25">
      <c r="B11" s="69" t="s">
        <v>133</v>
      </c>
      <c r="C11" s="76">
        <f>(C10/C9)-1</f>
        <v>0.30000000000000004</v>
      </c>
      <c r="E11" s="570">
        <f t="shared" si="1"/>
        <v>48213</v>
      </c>
      <c r="F11" s="571">
        <v>0</v>
      </c>
      <c r="G11" s="571">
        <f t="shared" si="0"/>
        <v>815.73072100000013</v>
      </c>
    </row>
    <row r="12" spans="1:7" x14ac:dyDescent="0.25">
      <c r="B12" s="77" t="s">
        <v>144</v>
      </c>
      <c r="C12" s="78">
        <f>((C10/C9)-1)/((B10-B9)/365)</f>
        <v>0.20054945054945056</v>
      </c>
      <c r="E12" s="570">
        <f t="shared" si="1"/>
        <v>48579</v>
      </c>
      <c r="F12" s="571">
        <v>0</v>
      </c>
      <c r="G12" s="571">
        <f t="shared" si="0"/>
        <v>1060.4499373000001</v>
      </c>
    </row>
    <row r="13" spans="1:7" x14ac:dyDescent="0.25">
      <c r="E13" s="570">
        <f t="shared" si="1"/>
        <v>48944</v>
      </c>
      <c r="F13" s="572">
        <v>130</v>
      </c>
      <c r="G13" s="572">
        <f>G12*(1+$G$14)</f>
        <v>1378.5849184900003</v>
      </c>
    </row>
    <row r="14" spans="1:7" x14ac:dyDescent="0.25">
      <c r="A14" s="68" t="s">
        <v>134</v>
      </c>
      <c r="B14" s="69" t="s">
        <v>6</v>
      </c>
      <c r="C14" s="69" t="s">
        <v>130</v>
      </c>
      <c r="E14" s="573" t="s">
        <v>144</v>
      </c>
      <c r="F14" s="20">
        <f>((F13/F3)-1)/((E13-E3)/365)</f>
        <v>2.9983570646221251E-2</v>
      </c>
      <c r="G14" s="20">
        <v>0.3</v>
      </c>
    </row>
    <row r="15" spans="1:7" x14ac:dyDescent="0.25">
      <c r="B15" s="72">
        <f>B3</f>
        <v>45292</v>
      </c>
      <c r="C15" s="73">
        <v>100</v>
      </c>
      <c r="E15" s="573" t="s">
        <v>618</v>
      </c>
      <c r="F15" s="20">
        <f>((F13/F3)^0.1)-1</f>
        <v>2.6583631304232025E-2</v>
      </c>
      <c r="G15" s="20">
        <f>((G13/G3)^0.1)-1</f>
        <v>0.30000000000000004</v>
      </c>
    </row>
    <row r="16" spans="1:7" x14ac:dyDescent="0.25">
      <c r="B16" s="74">
        <f>EDATE(B4,12)</f>
        <v>46022</v>
      </c>
      <c r="C16" s="75">
        <v>130</v>
      </c>
      <c r="E16" s="574"/>
    </row>
    <row r="17" spans="1:5" x14ac:dyDescent="0.25">
      <c r="B17" s="69" t="s">
        <v>133</v>
      </c>
      <c r="C17" s="76">
        <f>(C16/C15)-1</f>
        <v>0.30000000000000004</v>
      </c>
      <c r="E17" s="574"/>
    </row>
    <row r="18" spans="1:5" x14ac:dyDescent="0.25">
      <c r="B18" s="77" t="s">
        <v>144</v>
      </c>
      <c r="C18" s="78">
        <f>((C16/C15)-1)/((B16-B15)/365)</f>
        <v>0.15000000000000002</v>
      </c>
    </row>
    <row r="20" spans="1:5" x14ac:dyDescent="0.25">
      <c r="A20" s="68" t="s">
        <v>135</v>
      </c>
      <c r="B20" s="69" t="s">
        <v>6</v>
      </c>
      <c r="C20" s="69" t="s">
        <v>130</v>
      </c>
    </row>
    <row r="21" spans="1:5" x14ac:dyDescent="0.25">
      <c r="B21" s="72">
        <f>B15</f>
        <v>45292</v>
      </c>
      <c r="C21" s="73">
        <v>100</v>
      </c>
    </row>
    <row r="22" spans="1:5" x14ac:dyDescent="0.25">
      <c r="B22" s="74">
        <f>EDATE(B4,108)</f>
        <v>48944</v>
      </c>
      <c r="C22" s="75">
        <v>130</v>
      </c>
    </row>
    <row r="23" spans="1:5" x14ac:dyDescent="0.25">
      <c r="B23" s="69" t="s">
        <v>133</v>
      </c>
      <c r="C23" s="76">
        <f>(C22/C21)-1</f>
        <v>0.30000000000000004</v>
      </c>
    </row>
    <row r="24" spans="1:5" x14ac:dyDescent="0.25">
      <c r="B24" s="77" t="s">
        <v>144</v>
      </c>
      <c r="C24" s="78">
        <f>((C22/C21)-1)/((B22-B21)/365)</f>
        <v>2.9983570646221251E-2</v>
      </c>
    </row>
  </sheetData>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E693-51AF-434E-8876-7E1B2B9896AE}">
  <dimension ref="A1:L35"/>
  <sheetViews>
    <sheetView zoomScale="116" zoomScaleNormal="116" workbookViewId="0">
      <selection activeCell="G17" sqref="G17"/>
    </sheetView>
  </sheetViews>
  <sheetFormatPr baseColWidth="10" defaultColWidth="9.21875" defaultRowHeight="13.2" x14ac:dyDescent="0.25"/>
  <cols>
    <col min="1" max="1" width="10.77734375" style="68" bestFit="1" customWidth="1"/>
    <col min="2" max="2" width="8.88671875" style="68" bestFit="1" customWidth="1"/>
    <col min="3" max="3" width="15.6640625" style="68" bestFit="1" customWidth="1"/>
    <col min="4" max="7" width="9.21875" style="68"/>
    <col min="8" max="8" width="15.6640625" style="68" bestFit="1" customWidth="1"/>
    <col min="9" max="16384" width="9.21875" style="68"/>
  </cols>
  <sheetData>
    <row r="1" spans="1:12" x14ac:dyDescent="0.25">
      <c r="C1" s="1">
        <v>0.01</v>
      </c>
      <c r="D1" s="68" t="s">
        <v>65</v>
      </c>
    </row>
    <row r="2" spans="1:12" x14ac:dyDescent="0.25">
      <c r="A2" s="69" t="s">
        <v>54</v>
      </c>
      <c r="B2" s="24" t="s">
        <v>48</v>
      </c>
      <c r="C2" s="77" t="s">
        <v>66</v>
      </c>
    </row>
    <row r="3" spans="1:12" x14ac:dyDescent="0.25">
      <c r="A3" s="70">
        <v>1</v>
      </c>
      <c r="B3" s="28">
        <v>0.01</v>
      </c>
      <c r="C3" s="263">
        <f>B3+$C$1</f>
        <v>0.02</v>
      </c>
    </row>
    <row r="4" spans="1:12" x14ac:dyDescent="0.25">
      <c r="A4" s="80">
        <v>2</v>
      </c>
      <c r="B4" s="25">
        <v>1.2E-2</v>
      </c>
      <c r="C4" s="264">
        <f t="shared" ref="C4:C17" si="0">B4+$C$1</f>
        <v>2.1999999999999999E-2</v>
      </c>
    </row>
    <row r="5" spans="1:12" x14ac:dyDescent="0.25">
      <c r="A5" s="80">
        <v>3</v>
      </c>
      <c r="B5" s="27">
        <v>1.2500000000000001E-2</v>
      </c>
      <c r="C5" s="264">
        <f t="shared" si="0"/>
        <v>2.2499999999999999E-2</v>
      </c>
    </row>
    <row r="6" spans="1:12" x14ac:dyDescent="0.25">
      <c r="A6" s="80">
        <v>4</v>
      </c>
      <c r="B6" s="25">
        <v>1.2999999999999999E-2</v>
      </c>
      <c r="C6" s="264">
        <f t="shared" si="0"/>
        <v>2.3E-2</v>
      </c>
    </row>
    <row r="7" spans="1:12" x14ac:dyDescent="0.25">
      <c r="A7" s="80">
        <v>5</v>
      </c>
      <c r="B7" s="25">
        <v>1.32E-2</v>
      </c>
      <c r="C7" s="264">
        <f t="shared" si="0"/>
        <v>2.3199999999999998E-2</v>
      </c>
    </row>
    <row r="8" spans="1:12" x14ac:dyDescent="0.25">
      <c r="A8" s="80">
        <v>6</v>
      </c>
      <c r="B8" s="25">
        <v>1.35E-2</v>
      </c>
      <c r="C8" s="264">
        <f t="shared" si="0"/>
        <v>2.35E-2</v>
      </c>
    </row>
    <row r="9" spans="1:12" x14ac:dyDescent="0.25">
      <c r="A9" s="80">
        <v>7</v>
      </c>
      <c r="B9" s="25">
        <v>1.6E-2</v>
      </c>
      <c r="C9" s="264">
        <f t="shared" si="0"/>
        <v>2.6000000000000002E-2</v>
      </c>
    </row>
    <row r="10" spans="1:12" x14ac:dyDescent="0.25">
      <c r="A10" s="80">
        <v>8</v>
      </c>
      <c r="B10" s="25">
        <v>1.7000000000000001E-2</v>
      </c>
      <c r="C10" s="264">
        <f t="shared" si="0"/>
        <v>2.7000000000000003E-2</v>
      </c>
    </row>
    <row r="11" spans="1:12" x14ac:dyDescent="0.25">
      <c r="A11" s="80">
        <v>9</v>
      </c>
      <c r="B11" s="25">
        <v>0.02</v>
      </c>
      <c r="C11" s="264">
        <f t="shared" si="0"/>
        <v>0.03</v>
      </c>
    </row>
    <row r="12" spans="1:12" x14ac:dyDescent="0.25">
      <c r="A12" s="80">
        <v>10</v>
      </c>
      <c r="B12" s="25">
        <v>2.3E-2</v>
      </c>
      <c r="C12" s="264">
        <f t="shared" si="0"/>
        <v>3.3000000000000002E-2</v>
      </c>
    </row>
    <row r="13" spans="1:12" x14ac:dyDescent="0.25">
      <c r="A13" s="80">
        <v>15</v>
      </c>
      <c r="B13" s="25">
        <v>2.4E-2</v>
      </c>
      <c r="C13" s="264">
        <f t="shared" si="0"/>
        <v>3.4000000000000002E-2</v>
      </c>
    </row>
    <row r="14" spans="1:12" x14ac:dyDescent="0.25">
      <c r="A14" s="80">
        <v>30</v>
      </c>
      <c r="B14" s="25">
        <v>2.8000000000000001E-2</v>
      </c>
      <c r="C14" s="264">
        <f t="shared" si="0"/>
        <v>3.7999999999999999E-2</v>
      </c>
    </row>
    <row r="15" spans="1:12" x14ac:dyDescent="0.25">
      <c r="A15" s="80">
        <v>50</v>
      </c>
      <c r="B15" s="25">
        <v>0.03</v>
      </c>
      <c r="C15" s="264">
        <f t="shared" si="0"/>
        <v>0.04</v>
      </c>
    </row>
    <row r="16" spans="1:12" x14ac:dyDescent="0.25">
      <c r="A16" s="80">
        <v>75</v>
      </c>
      <c r="B16" s="25">
        <v>3.5000000000000003E-2</v>
      </c>
      <c r="C16" s="264">
        <f t="shared" si="0"/>
        <v>4.5000000000000005E-2</v>
      </c>
      <c r="E16" s="68" t="s">
        <v>314</v>
      </c>
      <c r="G16" s="265" t="s">
        <v>315</v>
      </c>
      <c r="H16" s="265"/>
      <c r="I16" s="265"/>
      <c r="J16" s="265"/>
      <c r="K16" s="265"/>
      <c r="L16" s="265"/>
    </row>
    <row r="17" spans="1:7" x14ac:dyDescent="0.25">
      <c r="A17" s="83">
        <v>100</v>
      </c>
      <c r="B17" s="26">
        <v>0.04</v>
      </c>
      <c r="C17" s="266">
        <f t="shared" si="0"/>
        <v>0.05</v>
      </c>
      <c r="G17" s="265" t="s">
        <v>603</v>
      </c>
    </row>
    <row r="19" spans="1:7" x14ac:dyDescent="0.25">
      <c r="A19" s="69" t="s">
        <v>54</v>
      </c>
      <c r="B19" s="29" t="s">
        <v>67</v>
      </c>
      <c r="C19" s="29" t="s">
        <v>68</v>
      </c>
    </row>
    <row r="20" spans="1:7" x14ac:dyDescent="0.25">
      <c r="A20" s="103">
        <v>0</v>
      </c>
      <c r="B20" s="12">
        <v>1</v>
      </c>
      <c r="C20" s="3">
        <v>1</v>
      </c>
    </row>
    <row r="21" spans="1:7" x14ac:dyDescent="0.25">
      <c r="A21" s="267">
        <v>1</v>
      </c>
      <c r="B21" s="2">
        <f t="shared" ref="B21:B35" si="1">EXP(-B3*A3)</f>
        <v>0.99004983374916811</v>
      </c>
      <c r="C21" s="5">
        <f t="shared" ref="C21:C35" si="2">EXP(-C3*A3)</f>
        <v>0.98019867330675525</v>
      </c>
    </row>
    <row r="22" spans="1:7" x14ac:dyDescent="0.25">
      <c r="A22" s="267">
        <v>2</v>
      </c>
      <c r="B22" s="2">
        <f t="shared" si="1"/>
        <v>0.97628570975790929</v>
      </c>
      <c r="C22" s="5">
        <f t="shared" si="2"/>
        <v>0.95695395747304668</v>
      </c>
    </row>
    <row r="23" spans="1:7" x14ac:dyDescent="0.25">
      <c r="A23" s="267">
        <v>3</v>
      </c>
      <c r="B23" s="2">
        <f t="shared" si="1"/>
        <v>0.96319441772082182</v>
      </c>
      <c r="C23" s="5">
        <f t="shared" si="2"/>
        <v>0.93472772061602749</v>
      </c>
    </row>
    <row r="24" spans="1:7" x14ac:dyDescent="0.25">
      <c r="A24" s="267">
        <v>4</v>
      </c>
      <c r="B24" s="2">
        <f t="shared" si="1"/>
        <v>0.94932886684288953</v>
      </c>
      <c r="C24" s="5">
        <f t="shared" si="2"/>
        <v>0.91210514954509037</v>
      </c>
    </row>
    <row r="25" spans="1:7" x14ac:dyDescent="0.25">
      <c r="A25" s="267">
        <v>5</v>
      </c>
      <c r="B25" s="2">
        <f t="shared" si="1"/>
        <v>0.93613086429161885</v>
      </c>
      <c r="C25" s="5">
        <f t="shared" si="2"/>
        <v>0.89047522329747264</v>
      </c>
    </row>
    <row r="26" spans="1:7" x14ac:dyDescent="0.25">
      <c r="A26" s="267">
        <v>6</v>
      </c>
      <c r="B26" s="2">
        <f t="shared" si="1"/>
        <v>0.92219369144460805</v>
      </c>
      <c r="C26" s="5">
        <f t="shared" si="2"/>
        <v>0.86848931169766785</v>
      </c>
    </row>
    <row r="27" spans="1:7" x14ac:dyDescent="0.25">
      <c r="A27" s="267">
        <v>7</v>
      </c>
      <c r="B27" s="2">
        <f t="shared" si="1"/>
        <v>0.89404425750035721</v>
      </c>
      <c r="C27" s="5">
        <f t="shared" si="2"/>
        <v>0.8336013404157353</v>
      </c>
    </row>
    <row r="28" spans="1:7" x14ac:dyDescent="0.25">
      <c r="A28" s="267">
        <v>8</v>
      </c>
      <c r="B28" s="2">
        <f t="shared" si="1"/>
        <v>0.87284263248871929</v>
      </c>
      <c r="C28" s="5">
        <f t="shared" si="2"/>
        <v>0.80573530187347964</v>
      </c>
    </row>
    <row r="29" spans="1:7" x14ac:dyDescent="0.25">
      <c r="A29" s="267">
        <v>9</v>
      </c>
      <c r="B29" s="2">
        <f t="shared" si="1"/>
        <v>0.835270211411272</v>
      </c>
      <c r="C29" s="5">
        <f t="shared" si="2"/>
        <v>0.76337949433685315</v>
      </c>
    </row>
    <row r="30" spans="1:7" x14ac:dyDescent="0.25">
      <c r="A30" s="267">
        <v>10</v>
      </c>
      <c r="B30" s="2">
        <f t="shared" si="1"/>
        <v>0.79453360250333405</v>
      </c>
      <c r="C30" s="5">
        <f t="shared" si="2"/>
        <v>0.71892373343192617</v>
      </c>
    </row>
    <row r="31" spans="1:7" x14ac:dyDescent="0.25">
      <c r="A31" s="267">
        <v>15</v>
      </c>
      <c r="B31" s="2">
        <f t="shared" si="1"/>
        <v>0.69767632607103103</v>
      </c>
      <c r="C31" s="5">
        <f t="shared" si="2"/>
        <v>0.6004955788122659</v>
      </c>
    </row>
    <row r="32" spans="1:7" x14ac:dyDescent="0.25">
      <c r="A32" s="267">
        <v>30</v>
      </c>
      <c r="B32" s="2">
        <f t="shared" si="1"/>
        <v>0.43171052342907973</v>
      </c>
      <c r="C32" s="5">
        <f t="shared" si="2"/>
        <v>0.31981902181630395</v>
      </c>
    </row>
    <row r="33" spans="1:3" x14ac:dyDescent="0.25">
      <c r="A33" s="267">
        <v>50</v>
      </c>
      <c r="B33" s="2">
        <f t="shared" si="1"/>
        <v>0.22313016014842982</v>
      </c>
      <c r="C33" s="5">
        <f t="shared" si="2"/>
        <v>0.1353352832366127</v>
      </c>
    </row>
    <row r="34" spans="1:3" x14ac:dyDescent="0.25">
      <c r="A34" s="267">
        <v>75</v>
      </c>
      <c r="B34" s="2">
        <f t="shared" si="1"/>
        <v>7.2439757034251429E-2</v>
      </c>
      <c r="C34" s="5">
        <f t="shared" si="2"/>
        <v>3.4218118311666018E-2</v>
      </c>
    </row>
    <row r="35" spans="1:3" x14ac:dyDescent="0.25">
      <c r="A35" s="268">
        <v>100</v>
      </c>
      <c r="B35" s="4">
        <f t="shared" si="1"/>
        <v>1.8315638888734179E-2</v>
      </c>
      <c r="C35" s="9">
        <f t="shared" si="2"/>
        <v>6.737946999085467E-3</v>
      </c>
    </row>
  </sheetData>
  <pageMargins left="0.75" right="0.75" top="1" bottom="1" header="0.5" footer="0.5"/>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5ED6-435A-4450-B455-454747E1825B}">
  <dimension ref="A1:L15"/>
  <sheetViews>
    <sheetView workbookViewId="0">
      <selection activeCell="D23" sqref="D23"/>
    </sheetView>
  </sheetViews>
  <sheetFormatPr baseColWidth="10" defaultColWidth="8.77734375" defaultRowHeight="13.2" x14ac:dyDescent="0.25"/>
  <cols>
    <col min="1" max="1" width="30.21875" style="42" bestFit="1" customWidth="1"/>
    <col min="2" max="2" width="12.21875" style="42" bestFit="1" customWidth="1"/>
    <col min="3" max="4" width="12.21875" style="42" customWidth="1"/>
    <col min="5" max="6" width="8.77734375" style="42"/>
    <col min="7" max="7" width="16.77734375" style="42" bestFit="1" customWidth="1"/>
    <col min="8" max="8" width="16.77734375" style="42" customWidth="1"/>
    <col min="9" max="9" width="23.5546875" style="42" bestFit="1" customWidth="1"/>
    <col min="10" max="10" width="13.33203125" style="42" bestFit="1" customWidth="1"/>
    <col min="11" max="16384" width="8.77734375" style="42"/>
  </cols>
  <sheetData>
    <row r="1" spans="1:12" x14ac:dyDescent="0.25">
      <c r="A1" s="42" t="s">
        <v>138</v>
      </c>
      <c r="B1" s="89">
        <v>0.06</v>
      </c>
      <c r="C1" s="89"/>
      <c r="D1" s="89"/>
    </row>
    <row r="2" spans="1:12" x14ac:dyDescent="0.25">
      <c r="A2" s="42" t="s">
        <v>45</v>
      </c>
      <c r="B2" s="90">
        <v>98</v>
      </c>
      <c r="C2" s="90"/>
      <c r="D2" s="90"/>
    </row>
    <row r="3" spans="1:12" x14ac:dyDescent="0.25">
      <c r="A3" s="42" t="s">
        <v>139</v>
      </c>
      <c r="G3" s="52" t="s">
        <v>36</v>
      </c>
      <c r="H3" s="52" t="s">
        <v>316</v>
      </c>
      <c r="I3" s="46" t="s">
        <v>75</v>
      </c>
      <c r="J3" s="46" t="s">
        <v>140</v>
      </c>
    </row>
    <row r="4" spans="1:12" x14ac:dyDescent="0.25">
      <c r="G4" s="52">
        <v>0</v>
      </c>
      <c r="H4" s="52"/>
      <c r="I4" s="91"/>
      <c r="J4" s="269">
        <f>-B2</f>
        <v>-98</v>
      </c>
    </row>
    <row r="5" spans="1:12" x14ac:dyDescent="0.25">
      <c r="A5" s="210" t="s">
        <v>141</v>
      </c>
      <c r="B5" s="92">
        <v>6.474619758590433E-2</v>
      </c>
      <c r="C5" s="270" t="s">
        <v>317</v>
      </c>
      <c r="D5" s="271"/>
      <c r="G5" s="55">
        <f>G4+0.5</f>
        <v>0.5</v>
      </c>
      <c r="H5" s="55">
        <v>1</v>
      </c>
      <c r="I5" s="93">
        <f>B1*100/2</f>
        <v>3</v>
      </c>
      <c r="J5" s="94">
        <f>I5/((1+($B$5/2))^H5)</f>
        <v>2.9059261651699289</v>
      </c>
    </row>
    <row r="6" spans="1:12" x14ac:dyDescent="0.25">
      <c r="G6" s="55">
        <f t="shared" ref="G6:G14" si="0">G5+0.5</f>
        <v>1</v>
      </c>
      <c r="H6" s="55">
        <f>H5+1</f>
        <v>2</v>
      </c>
      <c r="I6" s="93">
        <f>I5</f>
        <v>3</v>
      </c>
      <c r="J6" s="94">
        <f t="shared" ref="J6:J13" si="1">I6/((1+($B$5/2))^H6)</f>
        <v>2.8148022924730696</v>
      </c>
    </row>
    <row r="7" spans="1:12" x14ac:dyDescent="0.25">
      <c r="G7" s="55">
        <f t="shared" si="0"/>
        <v>1.5</v>
      </c>
      <c r="H7" s="55">
        <f t="shared" ref="H7:H14" si="2">H6+1</f>
        <v>3</v>
      </c>
      <c r="I7" s="93">
        <f t="shared" ref="I7:I14" si="3">I6</f>
        <v>3</v>
      </c>
      <c r="J7" s="94">
        <f t="shared" si="1"/>
        <v>2.726535877159264</v>
      </c>
    </row>
    <row r="8" spans="1:12" x14ac:dyDescent="0.25">
      <c r="G8" s="55">
        <f t="shared" si="0"/>
        <v>2</v>
      </c>
      <c r="H8" s="55">
        <f t="shared" si="2"/>
        <v>4</v>
      </c>
      <c r="I8" s="93">
        <f t="shared" si="3"/>
        <v>3</v>
      </c>
      <c r="J8" s="94">
        <f t="shared" si="1"/>
        <v>2.6410373152372157</v>
      </c>
    </row>
    <row r="9" spans="1:12" x14ac:dyDescent="0.25">
      <c r="G9" s="55">
        <f t="shared" si="0"/>
        <v>2.5</v>
      </c>
      <c r="H9" s="55">
        <f t="shared" si="2"/>
        <v>5</v>
      </c>
      <c r="I9" s="93">
        <f t="shared" si="3"/>
        <v>3</v>
      </c>
      <c r="J9" s="94">
        <f t="shared" si="1"/>
        <v>2.5582198125126561</v>
      </c>
    </row>
    <row r="10" spans="1:12" x14ac:dyDescent="0.25">
      <c r="G10" s="55">
        <f t="shared" si="0"/>
        <v>3</v>
      </c>
      <c r="H10" s="55">
        <f t="shared" si="2"/>
        <v>6</v>
      </c>
      <c r="I10" s="93">
        <f t="shared" si="3"/>
        <v>3</v>
      </c>
      <c r="J10" s="94">
        <f t="shared" si="1"/>
        <v>2.4779992964788788</v>
      </c>
    </row>
    <row r="11" spans="1:12" x14ac:dyDescent="0.25">
      <c r="G11" s="55">
        <f t="shared" si="0"/>
        <v>3.5</v>
      </c>
      <c r="H11" s="55">
        <f t="shared" si="2"/>
        <v>7</v>
      </c>
      <c r="I11" s="93">
        <f t="shared" si="3"/>
        <v>3</v>
      </c>
      <c r="J11" s="94">
        <f t="shared" si="1"/>
        <v>2.4002943309702167</v>
      </c>
    </row>
    <row r="12" spans="1:12" x14ac:dyDescent="0.25">
      <c r="G12" s="55">
        <f t="shared" si="0"/>
        <v>4</v>
      </c>
      <c r="H12" s="55">
        <f t="shared" si="2"/>
        <v>8</v>
      </c>
      <c r="I12" s="93">
        <f t="shared" si="3"/>
        <v>3</v>
      </c>
      <c r="J12" s="94">
        <f t="shared" si="1"/>
        <v>2.3250260334918007</v>
      </c>
    </row>
    <row r="13" spans="1:12" x14ac:dyDescent="0.25">
      <c r="G13" s="55">
        <f t="shared" si="0"/>
        <v>4.5</v>
      </c>
      <c r="H13" s="55">
        <f t="shared" si="2"/>
        <v>9</v>
      </c>
      <c r="I13" s="93">
        <f t="shared" si="3"/>
        <v>3</v>
      </c>
      <c r="J13" s="94">
        <f t="shared" si="1"/>
        <v>2.2521179951416932</v>
      </c>
    </row>
    <row r="14" spans="1:12" x14ac:dyDescent="0.25">
      <c r="G14" s="65">
        <f t="shared" si="0"/>
        <v>5</v>
      </c>
      <c r="H14" s="65">
        <f t="shared" si="2"/>
        <v>10</v>
      </c>
      <c r="I14" s="93">
        <f t="shared" si="3"/>
        <v>3</v>
      </c>
      <c r="J14" s="94">
        <f>(100+I14)/((1+($B$5/2))^H14)</f>
        <v>74.898036304513965</v>
      </c>
    </row>
    <row r="15" spans="1:12" x14ac:dyDescent="0.25">
      <c r="I15" s="46" t="s">
        <v>142</v>
      </c>
      <c r="J15" s="272">
        <f>SUM(J4:J14)</f>
        <v>-4.5768513103894293E-6</v>
      </c>
      <c r="K15" s="85"/>
      <c r="L15" s="96"/>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71FEC-E89E-4F0F-B065-EAB9105E3649}">
  <dimension ref="A1:O226"/>
  <sheetViews>
    <sheetView zoomScale="116" zoomScaleNormal="116" workbookViewId="0">
      <selection activeCell="C4" sqref="C4"/>
    </sheetView>
  </sheetViews>
  <sheetFormatPr baseColWidth="10" defaultColWidth="9.21875" defaultRowHeight="13.2" x14ac:dyDescent="0.25"/>
  <cols>
    <col min="1" max="1" width="21.21875" style="68" bestFit="1" customWidth="1"/>
    <col min="2" max="2" width="28" style="68" bestFit="1" customWidth="1"/>
    <col min="3" max="3" width="11.77734375" style="68" bestFit="1" customWidth="1"/>
    <col min="4" max="16384" width="9.21875" style="68"/>
  </cols>
  <sheetData>
    <row r="1" spans="1:15" x14ac:dyDescent="0.25">
      <c r="A1" s="733" t="s">
        <v>94</v>
      </c>
      <c r="B1" s="273" t="s">
        <v>69</v>
      </c>
      <c r="C1" s="33">
        <v>98</v>
      </c>
      <c r="D1" s="274"/>
      <c r="E1" s="274"/>
      <c r="F1" s="274"/>
    </row>
    <row r="2" spans="1:15" x14ac:dyDescent="0.25">
      <c r="A2" s="734"/>
      <c r="B2" s="275" t="s">
        <v>74</v>
      </c>
      <c r="C2" s="34">
        <v>100</v>
      </c>
      <c r="D2" s="274"/>
      <c r="E2" s="274"/>
      <c r="F2" s="274"/>
    </row>
    <row r="3" spans="1:15" x14ac:dyDescent="0.25">
      <c r="A3" s="734"/>
      <c r="B3" s="275" t="s">
        <v>147</v>
      </c>
      <c r="C3" s="35">
        <v>0.06</v>
      </c>
      <c r="D3" s="276"/>
      <c r="E3" s="276"/>
      <c r="F3" s="276"/>
    </row>
    <row r="4" spans="1:15" x14ac:dyDescent="0.25">
      <c r="A4" s="734"/>
      <c r="B4" s="275" t="s">
        <v>70</v>
      </c>
      <c r="C4" s="36" t="s">
        <v>136</v>
      </c>
      <c r="D4" s="42" t="s">
        <v>72</v>
      </c>
      <c r="E4" s="277"/>
      <c r="F4" s="277"/>
    </row>
    <row r="5" spans="1:15" ht="13.8" thickBot="1" x14ac:dyDescent="0.3">
      <c r="A5" s="735"/>
      <c r="B5" s="278" t="s">
        <v>77</v>
      </c>
      <c r="C5" s="101">
        <v>5</v>
      </c>
      <c r="D5" s="50"/>
      <c r="E5" s="50"/>
      <c r="F5" s="50"/>
    </row>
    <row r="6" spans="1:15" ht="13.8" thickBot="1" x14ac:dyDescent="0.3">
      <c r="A6" s="736" t="s">
        <v>318</v>
      </c>
      <c r="B6" s="279" t="s">
        <v>73</v>
      </c>
      <c r="C6" s="162">
        <f>IF(C4="A",1,IF(C4="S",2,IF(C4="Q",4,12)))</f>
        <v>2</v>
      </c>
      <c r="D6" s="50"/>
      <c r="E6" s="50"/>
      <c r="F6" s="50"/>
    </row>
    <row r="7" spans="1:15" ht="13.8" thickBot="1" x14ac:dyDescent="0.3">
      <c r="A7" s="737"/>
      <c r="B7" s="280" t="s">
        <v>319</v>
      </c>
      <c r="C7" s="102">
        <f>C2*C3/C6</f>
        <v>3</v>
      </c>
      <c r="D7" s="96"/>
      <c r="E7" s="96"/>
      <c r="F7" s="96"/>
      <c r="L7" s="103" t="s">
        <v>78</v>
      </c>
      <c r="M7" s="104" t="s">
        <v>75</v>
      </c>
      <c r="N7" s="104" t="s">
        <v>74</v>
      </c>
      <c r="O7" s="104" t="s">
        <v>79</v>
      </c>
    </row>
    <row r="8" spans="1:15" x14ac:dyDescent="0.25">
      <c r="A8" s="737"/>
      <c r="B8" s="280" t="s">
        <v>76</v>
      </c>
      <c r="C8" s="163">
        <f>C6*C5</f>
        <v>10</v>
      </c>
      <c r="D8" s="50"/>
      <c r="E8" s="50"/>
      <c r="F8" s="50"/>
      <c r="L8" s="98">
        <v>0</v>
      </c>
      <c r="M8" s="98"/>
      <c r="N8" s="30">
        <v>0</v>
      </c>
      <c r="O8" s="105">
        <f>-C1</f>
        <v>-98</v>
      </c>
    </row>
    <row r="9" spans="1:15" ht="13.8" thickBot="1" x14ac:dyDescent="0.3">
      <c r="A9" s="738" t="s">
        <v>320</v>
      </c>
      <c r="B9" s="281" t="s">
        <v>321</v>
      </c>
      <c r="C9" s="282">
        <v>3.2373080561250045E-2</v>
      </c>
      <c r="D9" s="42" t="s">
        <v>322</v>
      </c>
      <c r="E9" s="283"/>
      <c r="F9" s="283"/>
      <c r="L9" s="99">
        <f>IF(L8="","",IF(L8+1&gt;$C$8,"",L8+1))</f>
        <v>1</v>
      </c>
      <c r="M9" s="106">
        <f>IF(L9="","",$C$7)</f>
        <v>3</v>
      </c>
      <c r="N9" s="31">
        <f>IF(L9&lt;$C$8,0,IF(L9=$C$8,$C$2,""))</f>
        <v>0</v>
      </c>
      <c r="O9" s="106">
        <f>IF(M9="","",(M9+N9)/((1+$C$9)^L9))</f>
        <v>2.9059262164885671</v>
      </c>
    </row>
    <row r="10" spans="1:15" x14ac:dyDescent="0.25">
      <c r="A10" s="739"/>
      <c r="B10" s="284" t="s">
        <v>80</v>
      </c>
      <c r="C10" s="285">
        <f>SUM(O8:O128)</f>
        <v>1.0603505174344718E-5</v>
      </c>
      <c r="D10" s="85"/>
      <c r="E10" s="85"/>
      <c r="F10" s="85"/>
      <c r="L10" s="99">
        <f t="shared" ref="L10:L73" si="0">IF(L9="","",IF(L9+1&gt;$C$8,"",L9+1))</f>
        <v>2</v>
      </c>
      <c r="M10" s="106">
        <f t="shared" ref="M10:M73" si="1">IF(L10="","",$C$7)</f>
        <v>3</v>
      </c>
      <c r="N10" s="31">
        <f t="shared" ref="N10:N73" si="2">IF(L10&lt;$C$8,0,IF(L10=$C$8,$C$2,""))</f>
        <v>0</v>
      </c>
      <c r="O10" s="106">
        <f t="shared" ref="O10:O73" si="3">IF(M10="","",(M10+N10)/((1+$C$9)^L10))</f>
        <v>2.8148023918918521</v>
      </c>
    </row>
    <row r="11" spans="1:15" x14ac:dyDescent="0.25">
      <c r="L11" s="99">
        <f t="shared" si="0"/>
        <v>3</v>
      </c>
      <c r="M11" s="106">
        <f t="shared" si="1"/>
        <v>3</v>
      </c>
      <c r="N11" s="31">
        <f t="shared" si="2"/>
        <v>0</v>
      </c>
      <c r="O11" s="106">
        <f t="shared" si="3"/>
        <v>2.7265360216110861</v>
      </c>
    </row>
    <row r="12" spans="1:15" x14ac:dyDescent="0.25">
      <c r="B12" s="286"/>
      <c r="L12" s="99">
        <f t="shared" si="0"/>
        <v>4</v>
      </c>
      <c r="M12" s="106">
        <f t="shared" si="1"/>
        <v>3</v>
      </c>
      <c r="N12" s="31">
        <f t="shared" si="2"/>
        <v>0</v>
      </c>
      <c r="O12" s="106">
        <f t="shared" si="3"/>
        <v>2.6410375018000312</v>
      </c>
    </row>
    <row r="13" spans="1:15" x14ac:dyDescent="0.25">
      <c r="L13" s="99">
        <f t="shared" si="0"/>
        <v>5</v>
      </c>
      <c r="M13" s="106">
        <f t="shared" si="1"/>
        <v>3</v>
      </c>
      <c r="N13" s="31">
        <f t="shared" si="2"/>
        <v>0</v>
      </c>
      <c r="O13" s="106">
        <f t="shared" si="3"/>
        <v>2.5582200384033937</v>
      </c>
    </row>
    <row r="14" spans="1:15" x14ac:dyDescent="0.25">
      <c r="L14" s="99">
        <f t="shared" si="0"/>
        <v>6</v>
      </c>
      <c r="M14" s="106">
        <f t="shared" si="1"/>
        <v>3</v>
      </c>
      <c r="N14" s="31">
        <f t="shared" si="2"/>
        <v>0</v>
      </c>
      <c r="O14" s="106">
        <f t="shared" si="3"/>
        <v>2.4779995590476029</v>
      </c>
    </row>
    <row r="15" spans="1:15" x14ac:dyDescent="0.25">
      <c r="L15" s="99">
        <f t="shared" si="0"/>
        <v>7</v>
      </c>
      <c r="M15" s="106">
        <f t="shared" si="1"/>
        <v>3</v>
      </c>
      <c r="N15" s="31">
        <f t="shared" si="2"/>
        <v>0</v>
      </c>
      <c r="O15" s="106">
        <f t="shared" si="3"/>
        <v>2.4002946276945125</v>
      </c>
    </row>
    <row r="16" spans="1:15" x14ac:dyDescent="0.25">
      <c r="L16" s="99">
        <f t="shared" si="0"/>
        <v>8</v>
      </c>
      <c r="M16" s="106">
        <f t="shared" si="1"/>
        <v>3</v>
      </c>
      <c r="N16" s="31">
        <f t="shared" si="2"/>
        <v>0</v>
      </c>
      <c r="O16" s="106">
        <f t="shared" si="3"/>
        <v>2.3250263619713829</v>
      </c>
    </row>
    <row r="17" spans="12:15" x14ac:dyDescent="0.25">
      <c r="L17" s="99">
        <f t="shared" si="0"/>
        <v>9</v>
      </c>
      <c r="M17" s="106">
        <f t="shared" si="1"/>
        <v>3</v>
      </c>
      <c r="N17" s="31">
        <f t="shared" si="2"/>
        <v>0</v>
      </c>
      <c r="O17" s="106">
        <f t="shared" si="3"/>
        <v>2.2521183530932256</v>
      </c>
    </row>
    <row r="18" spans="12:15" x14ac:dyDescent="0.25">
      <c r="L18" s="99">
        <f t="shared" si="0"/>
        <v>10</v>
      </c>
      <c r="M18" s="106">
        <f t="shared" si="1"/>
        <v>3</v>
      </c>
      <c r="N18" s="31">
        <f t="shared" si="2"/>
        <v>100</v>
      </c>
      <c r="O18" s="106">
        <f t="shared" si="3"/>
        <v>74.898049531503545</v>
      </c>
    </row>
    <row r="19" spans="12:15" x14ac:dyDescent="0.25">
      <c r="L19" s="99" t="str">
        <f t="shared" si="0"/>
        <v/>
      </c>
      <c r="M19" s="106" t="str">
        <f t="shared" si="1"/>
        <v/>
      </c>
      <c r="N19" s="31" t="str">
        <f t="shared" si="2"/>
        <v/>
      </c>
      <c r="O19" s="106" t="str">
        <f t="shared" si="3"/>
        <v/>
      </c>
    </row>
    <row r="20" spans="12:15" x14ac:dyDescent="0.25">
      <c r="L20" s="99" t="str">
        <f t="shared" si="0"/>
        <v/>
      </c>
      <c r="M20" s="106" t="str">
        <f t="shared" si="1"/>
        <v/>
      </c>
      <c r="N20" s="31" t="str">
        <f t="shared" si="2"/>
        <v/>
      </c>
      <c r="O20" s="106" t="str">
        <f t="shared" si="3"/>
        <v/>
      </c>
    </row>
    <row r="21" spans="12:15" x14ac:dyDescent="0.25">
      <c r="L21" s="99" t="str">
        <f t="shared" si="0"/>
        <v/>
      </c>
      <c r="M21" s="106" t="str">
        <f t="shared" si="1"/>
        <v/>
      </c>
      <c r="N21" s="31" t="str">
        <f t="shared" si="2"/>
        <v/>
      </c>
      <c r="O21" s="106" t="str">
        <f t="shared" si="3"/>
        <v/>
      </c>
    </row>
    <row r="22" spans="12:15" x14ac:dyDescent="0.25">
      <c r="L22" s="99" t="str">
        <f t="shared" si="0"/>
        <v/>
      </c>
      <c r="M22" s="106" t="str">
        <f t="shared" si="1"/>
        <v/>
      </c>
      <c r="N22" s="31" t="str">
        <f t="shared" si="2"/>
        <v/>
      </c>
      <c r="O22" s="106" t="str">
        <f t="shared" si="3"/>
        <v/>
      </c>
    </row>
    <row r="23" spans="12:15" x14ac:dyDescent="0.25">
      <c r="L23" s="99" t="str">
        <f t="shared" si="0"/>
        <v/>
      </c>
      <c r="M23" s="106" t="str">
        <f t="shared" si="1"/>
        <v/>
      </c>
      <c r="N23" s="31" t="str">
        <f t="shared" si="2"/>
        <v/>
      </c>
      <c r="O23" s="106" t="str">
        <f t="shared" si="3"/>
        <v/>
      </c>
    </row>
    <row r="24" spans="12:15" x14ac:dyDescent="0.25">
      <c r="L24" s="99" t="str">
        <f t="shared" si="0"/>
        <v/>
      </c>
      <c r="M24" s="106" t="str">
        <f t="shared" si="1"/>
        <v/>
      </c>
      <c r="N24" s="31" t="str">
        <f t="shared" si="2"/>
        <v/>
      </c>
      <c r="O24" s="106" t="str">
        <f t="shared" si="3"/>
        <v/>
      </c>
    </row>
    <row r="25" spans="12:15" x14ac:dyDescent="0.25">
      <c r="L25" s="99" t="str">
        <f t="shared" si="0"/>
        <v/>
      </c>
      <c r="M25" s="106" t="str">
        <f t="shared" si="1"/>
        <v/>
      </c>
      <c r="N25" s="31" t="str">
        <f t="shared" si="2"/>
        <v/>
      </c>
      <c r="O25" s="106" t="str">
        <f t="shared" si="3"/>
        <v/>
      </c>
    </row>
    <row r="26" spans="12:15" x14ac:dyDescent="0.25">
      <c r="L26" s="99" t="str">
        <f t="shared" si="0"/>
        <v/>
      </c>
      <c r="M26" s="106" t="str">
        <f t="shared" si="1"/>
        <v/>
      </c>
      <c r="N26" s="31" t="str">
        <f t="shared" si="2"/>
        <v/>
      </c>
      <c r="O26" s="106" t="str">
        <f t="shared" si="3"/>
        <v/>
      </c>
    </row>
    <row r="27" spans="12:15" x14ac:dyDescent="0.25">
      <c r="L27" s="99" t="str">
        <f t="shared" si="0"/>
        <v/>
      </c>
      <c r="M27" s="106" t="str">
        <f t="shared" si="1"/>
        <v/>
      </c>
      <c r="N27" s="31" t="str">
        <f t="shared" si="2"/>
        <v/>
      </c>
      <c r="O27" s="106" t="str">
        <f t="shared" si="3"/>
        <v/>
      </c>
    </row>
    <row r="28" spans="12:15" x14ac:dyDescent="0.25">
      <c r="L28" s="99" t="str">
        <f t="shared" si="0"/>
        <v/>
      </c>
      <c r="M28" s="106" t="str">
        <f t="shared" si="1"/>
        <v/>
      </c>
      <c r="N28" s="31" t="str">
        <f t="shared" si="2"/>
        <v/>
      </c>
      <c r="O28" s="106" t="str">
        <f t="shared" si="3"/>
        <v/>
      </c>
    </row>
    <row r="29" spans="12:15" x14ac:dyDescent="0.25">
      <c r="L29" s="99" t="str">
        <f t="shared" si="0"/>
        <v/>
      </c>
      <c r="M29" s="106" t="str">
        <f t="shared" si="1"/>
        <v/>
      </c>
      <c r="N29" s="31" t="str">
        <f t="shared" si="2"/>
        <v/>
      </c>
      <c r="O29" s="106" t="str">
        <f t="shared" si="3"/>
        <v/>
      </c>
    </row>
    <row r="30" spans="12:15" x14ac:dyDescent="0.25">
      <c r="L30" s="99" t="str">
        <f t="shared" si="0"/>
        <v/>
      </c>
      <c r="M30" s="106" t="str">
        <f t="shared" si="1"/>
        <v/>
      </c>
      <c r="N30" s="31" t="str">
        <f t="shared" si="2"/>
        <v/>
      </c>
      <c r="O30" s="106" t="str">
        <f t="shared" si="3"/>
        <v/>
      </c>
    </row>
    <row r="31" spans="12:15" x14ac:dyDescent="0.25">
      <c r="L31" s="99" t="str">
        <f t="shared" si="0"/>
        <v/>
      </c>
      <c r="M31" s="106" t="str">
        <f t="shared" si="1"/>
        <v/>
      </c>
      <c r="N31" s="31" t="str">
        <f t="shared" si="2"/>
        <v/>
      </c>
      <c r="O31" s="106" t="str">
        <f t="shared" si="3"/>
        <v/>
      </c>
    </row>
    <row r="32" spans="12:15" x14ac:dyDescent="0.25">
      <c r="L32" s="99" t="str">
        <f t="shared" si="0"/>
        <v/>
      </c>
      <c r="M32" s="106" t="str">
        <f t="shared" si="1"/>
        <v/>
      </c>
      <c r="N32" s="31" t="str">
        <f t="shared" si="2"/>
        <v/>
      </c>
      <c r="O32" s="106" t="str">
        <f t="shared" si="3"/>
        <v/>
      </c>
    </row>
    <row r="33" spans="12:15" x14ac:dyDescent="0.25">
      <c r="L33" s="99" t="str">
        <f t="shared" si="0"/>
        <v/>
      </c>
      <c r="M33" s="106" t="str">
        <f t="shared" si="1"/>
        <v/>
      </c>
      <c r="N33" s="31" t="str">
        <f t="shared" si="2"/>
        <v/>
      </c>
      <c r="O33" s="106" t="str">
        <f t="shared" si="3"/>
        <v/>
      </c>
    </row>
    <row r="34" spans="12:15" x14ac:dyDescent="0.25">
      <c r="L34" s="99" t="str">
        <f t="shared" si="0"/>
        <v/>
      </c>
      <c r="M34" s="106" t="str">
        <f t="shared" si="1"/>
        <v/>
      </c>
      <c r="N34" s="31" t="str">
        <f t="shared" si="2"/>
        <v/>
      </c>
      <c r="O34" s="106" t="str">
        <f t="shared" si="3"/>
        <v/>
      </c>
    </row>
    <row r="35" spans="12:15" x14ac:dyDescent="0.25">
      <c r="L35" s="99" t="str">
        <f t="shared" si="0"/>
        <v/>
      </c>
      <c r="M35" s="106" t="str">
        <f t="shared" si="1"/>
        <v/>
      </c>
      <c r="N35" s="31" t="str">
        <f t="shared" si="2"/>
        <v/>
      </c>
      <c r="O35" s="106" t="str">
        <f t="shared" si="3"/>
        <v/>
      </c>
    </row>
    <row r="36" spans="12:15" x14ac:dyDescent="0.25">
      <c r="L36" s="99" t="str">
        <f t="shared" si="0"/>
        <v/>
      </c>
      <c r="M36" s="106" t="str">
        <f t="shared" si="1"/>
        <v/>
      </c>
      <c r="N36" s="31" t="str">
        <f t="shared" si="2"/>
        <v/>
      </c>
      <c r="O36" s="106" t="str">
        <f t="shared" si="3"/>
        <v/>
      </c>
    </row>
    <row r="37" spans="12:15" x14ac:dyDescent="0.25">
      <c r="L37" s="99" t="str">
        <f t="shared" si="0"/>
        <v/>
      </c>
      <c r="M37" s="106" t="str">
        <f t="shared" si="1"/>
        <v/>
      </c>
      <c r="N37" s="31" t="str">
        <f t="shared" si="2"/>
        <v/>
      </c>
      <c r="O37" s="106" t="str">
        <f t="shared" si="3"/>
        <v/>
      </c>
    </row>
    <row r="38" spans="12:15" x14ac:dyDescent="0.25">
      <c r="L38" s="99" t="str">
        <f t="shared" si="0"/>
        <v/>
      </c>
      <c r="M38" s="106" t="str">
        <f t="shared" si="1"/>
        <v/>
      </c>
      <c r="N38" s="31" t="str">
        <f t="shared" si="2"/>
        <v/>
      </c>
      <c r="O38" s="106" t="str">
        <f t="shared" si="3"/>
        <v/>
      </c>
    </row>
    <row r="39" spans="12:15" x14ac:dyDescent="0.25">
      <c r="L39" s="99" t="str">
        <f t="shared" si="0"/>
        <v/>
      </c>
      <c r="M39" s="106" t="str">
        <f t="shared" si="1"/>
        <v/>
      </c>
      <c r="N39" s="31" t="str">
        <f t="shared" si="2"/>
        <v/>
      </c>
      <c r="O39" s="106" t="str">
        <f t="shared" si="3"/>
        <v/>
      </c>
    </row>
    <row r="40" spans="12:15" x14ac:dyDescent="0.25">
      <c r="L40" s="99" t="str">
        <f t="shared" si="0"/>
        <v/>
      </c>
      <c r="M40" s="106" t="str">
        <f t="shared" si="1"/>
        <v/>
      </c>
      <c r="N40" s="31" t="str">
        <f t="shared" si="2"/>
        <v/>
      </c>
      <c r="O40" s="106" t="str">
        <f t="shared" si="3"/>
        <v/>
      </c>
    </row>
    <row r="41" spans="12:15" x14ac:dyDescent="0.25">
      <c r="L41" s="99" t="str">
        <f t="shared" si="0"/>
        <v/>
      </c>
      <c r="M41" s="106" t="str">
        <f t="shared" si="1"/>
        <v/>
      </c>
      <c r="N41" s="31" t="str">
        <f t="shared" si="2"/>
        <v/>
      </c>
      <c r="O41" s="106" t="str">
        <f t="shared" si="3"/>
        <v/>
      </c>
    </row>
    <row r="42" spans="12:15" x14ac:dyDescent="0.25">
      <c r="L42" s="99" t="str">
        <f t="shared" si="0"/>
        <v/>
      </c>
      <c r="M42" s="106" t="str">
        <f t="shared" si="1"/>
        <v/>
      </c>
      <c r="N42" s="31" t="str">
        <f t="shared" si="2"/>
        <v/>
      </c>
      <c r="O42" s="106" t="str">
        <f t="shared" si="3"/>
        <v/>
      </c>
    </row>
    <row r="43" spans="12:15" x14ac:dyDescent="0.25">
      <c r="L43" s="99" t="str">
        <f t="shared" si="0"/>
        <v/>
      </c>
      <c r="M43" s="106" t="str">
        <f t="shared" si="1"/>
        <v/>
      </c>
      <c r="N43" s="31" t="str">
        <f t="shared" si="2"/>
        <v/>
      </c>
      <c r="O43" s="106" t="str">
        <f t="shared" si="3"/>
        <v/>
      </c>
    </row>
    <row r="44" spans="12:15" x14ac:dyDescent="0.25">
      <c r="L44" s="99" t="str">
        <f t="shared" si="0"/>
        <v/>
      </c>
      <c r="M44" s="106" t="str">
        <f t="shared" si="1"/>
        <v/>
      </c>
      <c r="N44" s="31" t="str">
        <f t="shared" si="2"/>
        <v/>
      </c>
      <c r="O44" s="106" t="str">
        <f t="shared" si="3"/>
        <v/>
      </c>
    </row>
    <row r="45" spans="12:15" x14ac:dyDescent="0.25">
      <c r="L45" s="99" t="str">
        <f t="shared" si="0"/>
        <v/>
      </c>
      <c r="M45" s="106" t="str">
        <f t="shared" si="1"/>
        <v/>
      </c>
      <c r="N45" s="31" t="str">
        <f t="shared" si="2"/>
        <v/>
      </c>
      <c r="O45" s="106" t="str">
        <f t="shared" si="3"/>
        <v/>
      </c>
    </row>
    <row r="46" spans="12:15" x14ac:dyDescent="0.25">
      <c r="L46" s="99" t="str">
        <f t="shared" si="0"/>
        <v/>
      </c>
      <c r="M46" s="106" t="str">
        <f t="shared" si="1"/>
        <v/>
      </c>
      <c r="N46" s="31" t="str">
        <f t="shared" si="2"/>
        <v/>
      </c>
      <c r="O46" s="106" t="str">
        <f t="shared" si="3"/>
        <v/>
      </c>
    </row>
    <row r="47" spans="12:15" x14ac:dyDescent="0.25">
      <c r="L47" s="99" t="str">
        <f t="shared" si="0"/>
        <v/>
      </c>
      <c r="M47" s="106" t="str">
        <f t="shared" si="1"/>
        <v/>
      </c>
      <c r="N47" s="31" t="str">
        <f t="shared" si="2"/>
        <v/>
      </c>
      <c r="O47" s="106" t="str">
        <f t="shared" si="3"/>
        <v/>
      </c>
    </row>
    <row r="48" spans="12:15" x14ac:dyDescent="0.25">
      <c r="L48" s="99" t="str">
        <f t="shared" si="0"/>
        <v/>
      </c>
      <c r="M48" s="106" t="str">
        <f t="shared" si="1"/>
        <v/>
      </c>
      <c r="N48" s="31" t="str">
        <f t="shared" si="2"/>
        <v/>
      </c>
      <c r="O48" s="106" t="str">
        <f t="shared" si="3"/>
        <v/>
      </c>
    </row>
    <row r="49" spans="12:15" x14ac:dyDescent="0.25">
      <c r="L49" s="99" t="str">
        <f t="shared" si="0"/>
        <v/>
      </c>
      <c r="M49" s="106" t="str">
        <f t="shared" si="1"/>
        <v/>
      </c>
      <c r="N49" s="31" t="str">
        <f t="shared" si="2"/>
        <v/>
      </c>
      <c r="O49" s="106" t="str">
        <f t="shared" si="3"/>
        <v/>
      </c>
    </row>
    <row r="50" spans="12:15" x14ac:dyDescent="0.25">
      <c r="L50" s="99" t="str">
        <f t="shared" si="0"/>
        <v/>
      </c>
      <c r="M50" s="106" t="str">
        <f t="shared" si="1"/>
        <v/>
      </c>
      <c r="N50" s="31" t="str">
        <f t="shared" si="2"/>
        <v/>
      </c>
      <c r="O50" s="106" t="str">
        <f t="shared" si="3"/>
        <v/>
      </c>
    </row>
    <row r="51" spans="12:15" x14ac:dyDescent="0.25">
      <c r="L51" s="99" t="str">
        <f t="shared" si="0"/>
        <v/>
      </c>
      <c r="M51" s="106" t="str">
        <f t="shared" si="1"/>
        <v/>
      </c>
      <c r="N51" s="31" t="str">
        <f t="shared" si="2"/>
        <v/>
      </c>
      <c r="O51" s="106" t="str">
        <f t="shared" si="3"/>
        <v/>
      </c>
    </row>
    <row r="52" spans="12:15" x14ac:dyDescent="0.25">
      <c r="L52" s="99" t="str">
        <f t="shared" si="0"/>
        <v/>
      </c>
      <c r="M52" s="106" t="str">
        <f t="shared" si="1"/>
        <v/>
      </c>
      <c r="N52" s="31" t="str">
        <f t="shared" si="2"/>
        <v/>
      </c>
      <c r="O52" s="106" t="str">
        <f t="shared" si="3"/>
        <v/>
      </c>
    </row>
    <row r="53" spans="12:15" x14ac:dyDescent="0.25">
      <c r="L53" s="99" t="str">
        <f t="shared" si="0"/>
        <v/>
      </c>
      <c r="M53" s="106" t="str">
        <f t="shared" si="1"/>
        <v/>
      </c>
      <c r="N53" s="31" t="str">
        <f t="shared" si="2"/>
        <v/>
      </c>
      <c r="O53" s="106" t="str">
        <f t="shared" si="3"/>
        <v/>
      </c>
    </row>
    <row r="54" spans="12:15" x14ac:dyDescent="0.25">
      <c r="L54" s="99" t="str">
        <f t="shared" si="0"/>
        <v/>
      </c>
      <c r="M54" s="106" t="str">
        <f t="shared" si="1"/>
        <v/>
      </c>
      <c r="N54" s="31" t="str">
        <f t="shared" si="2"/>
        <v/>
      </c>
      <c r="O54" s="106" t="str">
        <f t="shared" si="3"/>
        <v/>
      </c>
    </row>
    <row r="55" spans="12:15" x14ac:dyDescent="0.25">
      <c r="L55" s="99" t="str">
        <f t="shared" si="0"/>
        <v/>
      </c>
      <c r="M55" s="106" t="str">
        <f t="shared" si="1"/>
        <v/>
      </c>
      <c r="N55" s="31" t="str">
        <f t="shared" si="2"/>
        <v/>
      </c>
      <c r="O55" s="106" t="str">
        <f t="shared" si="3"/>
        <v/>
      </c>
    </row>
    <row r="56" spans="12:15" x14ac:dyDescent="0.25">
      <c r="L56" s="99" t="str">
        <f t="shared" si="0"/>
        <v/>
      </c>
      <c r="M56" s="106" t="str">
        <f t="shared" si="1"/>
        <v/>
      </c>
      <c r="N56" s="31" t="str">
        <f t="shared" si="2"/>
        <v/>
      </c>
      <c r="O56" s="106" t="str">
        <f t="shared" si="3"/>
        <v/>
      </c>
    </row>
    <row r="57" spans="12:15" x14ac:dyDescent="0.25">
      <c r="L57" s="99" t="str">
        <f t="shared" si="0"/>
        <v/>
      </c>
      <c r="M57" s="106" t="str">
        <f t="shared" si="1"/>
        <v/>
      </c>
      <c r="N57" s="31" t="str">
        <f t="shared" si="2"/>
        <v/>
      </c>
      <c r="O57" s="106" t="str">
        <f t="shared" si="3"/>
        <v/>
      </c>
    </row>
    <row r="58" spans="12:15" x14ac:dyDescent="0.25">
      <c r="L58" s="99" t="str">
        <f t="shared" si="0"/>
        <v/>
      </c>
      <c r="M58" s="106" t="str">
        <f t="shared" si="1"/>
        <v/>
      </c>
      <c r="N58" s="31" t="str">
        <f t="shared" si="2"/>
        <v/>
      </c>
      <c r="O58" s="106" t="str">
        <f t="shared" si="3"/>
        <v/>
      </c>
    </row>
    <row r="59" spans="12:15" x14ac:dyDescent="0.25">
      <c r="L59" s="99" t="str">
        <f t="shared" si="0"/>
        <v/>
      </c>
      <c r="M59" s="106" t="str">
        <f t="shared" si="1"/>
        <v/>
      </c>
      <c r="N59" s="31" t="str">
        <f t="shared" si="2"/>
        <v/>
      </c>
      <c r="O59" s="106" t="str">
        <f t="shared" si="3"/>
        <v/>
      </c>
    </row>
    <row r="60" spans="12:15" x14ac:dyDescent="0.25">
      <c r="L60" s="99" t="str">
        <f t="shared" si="0"/>
        <v/>
      </c>
      <c r="M60" s="106" t="str">
        <f t="shared" si="1"/>
        <v/>
      </c>
      <c r="N60" s="31" t="str">
        <f t="shared" si="2"/>
        <v/>
      </c>
      <c r="O60" s="106" t="str">
        <f t="shared" si="3"/>
        <v/>
      </c>
    </row>
    <row r="61" spans="12:15" x14ac:dyDescent="0.25">
      <c r="L61" s="99" t="str">
        <f t="shared" si="0"/>
        <v/>
      </c>
      <c r="M61" s="106" t="str">
        <f t="shared" si="1"/>
        <v/>
      </c>
      <c r="N61" s="31" t="str">
        <f t="shared" si="2"/>
        <v/>
      </c>
      <c r="O61" s="106" t="str">
        <f t="shared" si="3"/>
        <v/>
      </c>
    </row>
    <row r="62" spans="12:15" x14ac:dyDescent="0.25">
      <c r="L62" s="99" t="str">
        <f t="shared" si="0"/>
        <v/>
      </c>
      <c r="M62" s="106" t="str">
        <f t="shared" si="1"/>
        <v/>
      </c>
      <c r="N62" s="31" t="str">
        <f t="shared" si="2"/>
        <v/>
      </c>
      <c r="O62" s="106" t="str">
        <f t="shared" si="3"/>
        <v/>
      </c>
    </row>
    <row r="63" spans="12:15" x14ac:dyDescent="0.25">
      <c r="L63" s="99" t="str">
        <f t="shared" si="0"/>
        <v/>
      </c>
      <c r="M63" s="106" t="str">
        <f t="shared" si="1"/>
        <v/>
      </c>
      <c r="N63" s="31" t="str">
        <f t="shared" si="2"/>
        <v/>
      </c>
      <c r="O63" s="106" t="str">
        <f t="shared" si="3"/>
        <v/>
      </c>
    </row>
    <row r="64" spans="12:15" x14ac:dyDescent="0.25">
      <c r="L64" s="99" t="str">
        <f t="shared" si="0"/>
        <v/>
      </c>
      <c r="M64" s="106" t="str">
        <f t="shared" si="1"/>
        <v/>
      </c>
      <c r="N64" s="31" t="str">
        <f t="shared" si="2"/>
        <v/>
      </c>
      <c r="O64" s="106" t="str">
        <f t="shared" si="3"/>
        <v/>
      </c>
    </row>
    <row r="65" spans="12:15" x14ac:dyDescent="0.25">
      <c r="L65" s="99" t="str">
        <f t="shared" si="0"/>
        <v/>
      </c>
      <c r="M65" s="106" t="str">
        <f t="shared" si="1"/>
        <v/>
      </c>
      <c r="N65" s="31" t="str">
        <f t="shared" si="2"/>
        <v/>
      </c>
      <c r="O65" s="106" t="str">
        <f t="shared" si="3"/>
        <v/>
      </c>
    </row>
    <row r="66" spans="12:15" x14ac:dyDescent="0.25">
      <c r="L66" s="99" t="str">
        <f t="shared" si="0"/>
        <v/>
      </c>
      <c r="M66" s="106" t="str">
        <f t="shared" si="1"/>
        <v/>
      </c>
      <c r="N66" s="31" t="str">
        <f t="shared" si="2"/>
        <v/>
      </c>
      <c r="O66" s="106" t="str">
        <f t="shared" si="3"/>
        <v/>
      </c>
    </row>
    <row r="67" spans="12:15" x14ac:dyDescent="0.25">
      <c r="L67" s="99" t="str">
        <f t="shared" si="0"/>
        <v/>
      </c>
      <c r="M67" s="106" t="str">
        <f t="shared" si="1"/>
        <v/>
      </c>
      <c r="N67" s="31" t="str">
        <f t="shared" si="2"/>
        <v/>
      </c>
      <c r="O67" s="106" t="str">
        <f t="shared" si="3"/>
        <v/>
      </c>
    </row>
    <row r="68" spans="12:15" x14ac:dyDescent="0.25">
      <c r="L68" s="99" t="str">
        <f t="shared" si="0"/>
        <v/>
      </c>
      <c r="M68" s="106" t="str">
        <f t="shared" si="1"/>
        <v/>
      </c>
      <c r="N68" s="31" t="str">
        <f t="shared" si="2"/>
        <v/>
      </c>
      <c r="O68" s="106" t="str">
        <f t="shared" si="3"/>
        <v/>
      </c>
    </row>
    <row r="69" spans="12:15" x14ac:dyDescent="0.25">
      <c r="L69" s="99" t="str">
        <f t="shared" si="0"/>
        <v/>
      </c>
      <c r="M69" s="106" t="str">
        <f t="shared" si="1"/>
        <v/>
      </c>
      <c r="N69" s="31" t="str">
        <f t="shared" si="2"/>
        <v/>
      </c>
      <c r="O69" s="106" t="str">
        <f t="shared" si="3"/>
        <v/>
      </c>
    </row>
    <row r="70" spans="12:15" x14ac:dyDescent="0.25">
      <c r="L70" s="99" t="str">
        <f t="shared" si="0"/>
        <v/>
      </c>
      <c r="M70" s="106" t="str">
        <f t="shared" si="1"/>
        <v/>
      </c>
      <c r="N70" s="31" t="str">
        <f t="shared" si="2"/>
        <v/>
      </c>
      <c r="O70" s="106" t="str">
        <f t="shared" si="3"/>
        <v/>
      </c>
    </row>
    <row r="71" spans="12:15" x14ac:dyDescent="0.25">
      <c r="L71" s="99" t="str">
        <f t="shared" si="0"/>
        <v/>
      </c>
      <c r="M71" s="106" t="str">
        <f t="shared" si="1"/>
        <v/>
      </c>
      <c r="N71" s="31" t="str">
        <f t="shared" si="2"/>
        <v/>
      </c>
      <c r="O71" s="106" t="str">
        <f t="shared" si="3"/>
        <v/>
      </c>
    </row>
    <row r="72" spans="12:15" x14ac:dyDescent="0.25">
      <c r="L72" s="99" t="str">
        <f t="shared" si="0"/>
        <v/>
      </c>
      <c r="M72" s="106" t="str">
        <f t="shared" si="1"/>
        <v/>
      </c>
      <c r="N72" s="31" t="str">
        <f t="shared" si="2"/>
        <v/>
      </c>
      <c r="O72" s="106" t="str">
        <f t="shared" si="3"/>
        <v/>
      </c>
    </row>
    <row r="73" spans="12:15" x14ac:dyDescent="0.25">
      <c r="L73" s="99" t="str">
        <f t="shared" si="0"/>
        <v/>
      </c>
      <c r="M73" s="106" t="str">
        <f t="shared" si="1"/>
        <v/>
      </c>
      <c r="N73" s="31" t="str">
        <f t="shared" si="2"/>
        <v/>
      </c>
      <c r="O73" s="106" t="str">
        <f t="shared" si="3"/>
        <v/>
      </c>
    </row>
    <row r="74" spans="12:15" x14ac:dyDescent="0.25">
      <c r="L74" s="99" t="str">
        <f t="shared" ref="L74:L129" si="4">IF(L73="","",IF(L73+1&gt;$C$8,"",L73+1))</f>
        <v/>
      </c>
      <c r="M74" s="106" t="str">
        <f t="shared" ref="M74:M129" si="5">IF(L74="","",$C$7)</f>
        <v/>
      </c>
      <c r="N74" s="31" t="str">
        <f t="shared" ref="N74:N129" si="6">IF(L74&lt;$C$8,0,IF(L74=$C$8,$C$2,""))</f>
        <v/>
      </c>
      <c r="O74" s="106" t="str">
        <f t="shared" ref="O74:O129" si="7">IF(M74="","",(M74+N74)/((1+$C$9)^L74))</f>
        <v/>
      </c>
    </row>
    <row r="75" spans="12:15" x14ac:dyDescent="0.25">
      <c r="L75" s="99" t="str">
        <f t="shared" si="4"/>
        <v/>
      </c>
      <c r="M75" s="106" t="str">
        <f t="shared" si="5"/>
        <v/>
      </c>
      <c r="N75" s="31" t="str">
        <f t="shared" si="6"/>
        <v/>
      </c>
      <c r="O75" s="106" t="str">
        <f t="shared" si="7"/>
        <v/>
      </c>
    </row>
    <row r="76" spans="12:15" x14ac:dyDescent="0.25">
      <c r="L76" s="99" t="str">
        <f t="shared" si="4"/>
        <v/>
      </c>
      <c r="M76" s="106" t="str">
        <f t="shared" si="5"/>
        <v/>
      </c>
      <c r="N76" s="31" t="str">
        <f t="shared" si="6"/>
        <v/>
      </c>
      <c r="O76" s="106" t="str">
        <f t="shared" si="7"/>
        <v/>
      </c>
    </row>
    <row r="77" spans="12:15" x14ac:dyDescent="0.25">
      <c r="L77" s="99" t="str">
        <f t="shared" si="4"/>
        <v/>
      </c>
      <c r="M77" s="106" t="str">
        <f t="shared" si="5"/>
        <v/>
      </c>
      <c r="N77" s="31" t="str">
        <f t="shared" si="6"/>
        <v/>
      </c>
      <c r="O77" s="106" t="str">
        <f t="shared" si="7"/>
        <v/>
      </c>
    </row>
    <row r="78" spans="12:15" x14ac:dyDescent="0.25">
      <c r="L78" s="99" t="str">
        <f t="shared" si="4"/>
        <v/>
      </c>
      <c r="M78" s="106" t="str">
        <f t="shared" si="5"/>
        <v/>
      </c>
      <c r="N78" s="31" t="str">
        <f t="shared" si="6"/>
        <v/>
      </c>
      <c r="O78" s="106" t="str">
        <f t="shared" si="7"/>
        <v/>
      </c>
    </row>
    <row r="79" spans="12:15" x14ac:dyDescent="0.25">
      <c r="L79" s="99" t="str">
        <f t="shared" si="4"/>
        <v/>
      </c>
      <c r="M79" s="106" t="str">
        <f t="shared" si="5"/>
        <v/>
      </c>
      <c r="N79" s="31" t="str">
        <f t="shared" si="6"/>
        <v/>
      </c>
      <c r="O79" s="106" t="str">
        <f t="shared" si="7"/>
        <v/>
      </c>
    </row>
    <row r="80" spans="12:15" x14ac:dyDescent="0.25">
      <c r="L80" s="99" t="str">
        <f t="shared" si="4"/>
        <v/>
      </c>
      <c r="M80" s="106" t="str">
        <f t="shared" si="5"/>
        <v/>
      </c>
      <c r="N80" s="31" t="str">
        <f t="shared" si="6"/>
        <v/>
      </c>
      <c r="O80" s="106" t="str">
        <f t="shared" si="7"/>
        <v/>
      </c>
    </row>
    <row r="81" spans="12:15" x14ac:dyDescent="0.25">
      <c r="L81" s="99" t="str">
        <f t="shared" si="4"/>
        <v/>
      </c>
      <c r="M81" s="106" t="str">
        <f t="shared" si="5"/>
        <v/>
      </c>
      <c r="N81" s="31" t="str">
        <f t="shared" si="6"/>
        <v/>
      </c>
      <c r="O81" s="106" t="str">
        <f t="shared" si="7"/>
        <v/>
      </c>
    </row>
    <row r="82" spans="12:15" x14ac:dyDescent="0.25">
      <c r="L82" s="99" t="str">
        <f t="shared" si="4"/>
        <v/>
      </c>
      <c r="M82" s="106" t="str">
        <f t="shared" si="5"/>
        <v/>
      </c>
      <c r="N82" s="31" t="str">
        <f t="shared" si="6"/>
        <v/>
      </c>
      <c r="O82" s="106" t="str">
        <f t="shared" si="7"/>
        <v/>
      </c>
    </row>
    <row r="83" spans="12:15" x14ac:dyDescent="0.25">
      <c r="L83" s="99" t="str">
        <f t="shared" si="4"/>
        <v/>
      </c>
      <c r="M83" s="106" t="str">
        <f t="shared" si="5"/>
        <v/>
      </c>
      <c r="N83" s="31" t="str">
        <f t="shared" si="6"/>
        <v/>
      </c>
      <c r="O83" s="106" t="str">
        <f t="shared" si="7"/>
        <v/>
      </c>
    </row>
    <row r="84" spans="12:15" x14ac:dyDescent="0.25">
      <c r="L84" s="99" t="str">
        <f t="shared" si="4"/>
        <v/>
      </c>
      <c r="M84" s="106" t="str">
        <f t="shared" si="5"/>
        <v/>
      </c>
      <c r="N84" s="31" t="str">
        <f t="shared" si="6"/>
        <v/>
      </c>
      <c r="O84" s="106" t="str">
        <f t="shared" si="7"/>
        <v/>
      </c>
    </row>
    <row r="85" spans="12:15" x14ac:dyDescent="0.25">
      <c r="L85" s="99" t="str">
        <f t="shared" si="4"/>
        <v/>
      </c>
      <c r="M85" s="106" t="str">
        <f t="shared" si="5"/>
        <v/>
      </c>
      <c r="N85" s="31" t="str">
        <f t="shared" si="6"/>
        <v/>
      </c>
      <c r="O85" s="106" t="str">
        <f t="shared" si="7"/>
        <v/>
      </c>
    </row>
    <row r="86" spans="12:15" x14ac:dyDescent="0.25">
      <c r="L86" s="99" t="str">
        <f t="shared" si="4"/>
        <v/>
      </c>
      <c r="M86" s="106" t="str">
        <f t="shared" si="5"/>
        <v/>
      </c>
      <c r="N86" s="31" t="str">
        <f t="shared" si="6"/>
        <v/>
      </c>
      <c r="O86" s="106" t="str">
        <f t="shared" si="7"/>
        <v/>
      </c>
    </row>
    <row r="87" spans="12:15" x14ac:dyDescent="0.25">
      <c r="L87" s="99" t="str">
        <f t="shared" si="4"/>
        <v/>
      </c>
      <c r="M87" s="106" t="str">
        <f t="shared" si="5"/>
        <v/>
      </c>
      <c r="N87" s="31" t="str">
        <f t="shared" si="6"/>
        <v/>
      </c>
      <c r="O87" s="106" t="str">
        <f t="shared" si="7"/>
        <v/>
      </c>
    </row>
    <row r="88" spans="12:15" x14ac:dyDescent="0.25">
      <c r="L88" s="99" t="str">
        <f t="shared" si="4"/>
        <v/>
      </c>
      <c r="M88" s="106" t="str">
        <f t="shared" si="5"/>
        <v/>
      </c>
      <c r="N88" s="31" t="str">
        <f t="shared" si="6"/>
        <v/>
      </c>
      <c r="O88" s="106" t="str">
        <f t="shared" si="7"/>
        <v/>
      </c>
    </row>
    <row r="89" spans="12:15" x14ac:dyDescent="0.25">
      <c r="L89" s="99" t="str">
        <f t="shared" si="4"/>
        <v/>
      </c>
      <c r="M89" s="106" t="str">
        <f t="shared" si="5"/>
        <v/>
      </c>
      <c r="N89" s="31" t="str">
        <f t="shared" si="6"/>
        <v/>
      </c>
      <c r="O89" s="106" t="str">
        <f t="shared" si="7"/>
        <v/>
      </c>
    </row>
    <row r="90" spans="12:15" x14ac:dyDescent="0.25">
      <c r="L90" s="99" t="str">
        <f t="shared" si="4"/>
        <v/>
      </c>
      <c r="M90" s="106" t="str">
        <f t="shared" si="5"/>
        <v/>
      </c>
      <c r="N90" s="31" t="str">
        <f t="shared" si="6"/>
        <v/>
      </c>
      <c r="O90" s="106" t="str">
        <f t="shared" si="7"/>
        <v/>
      </c>
    </row>
    <row r="91" spans="12:15" x14ac:dyDescent="0.25">
      <c r="L91" s="99" t="str">
        <f t="shared" si="4"/>
        <v/>
      </c>
      <c r="M91" s="106" t="str">
        <f t="shared" si="5"/>
        <v/>
      </c>
      <c r="N91" s="31" t="str">
        <f t="shared" si="6"/>
        <v/>
      </c>
      <c r="O91" s="106" t="str">
        <f t="shared" si="7"/>
        <v/>
      </c>
    </row>
    <row r="92" spans="12:15" x14ac:dyDescent="0.25">
      <c r="L92" s="99" t="str">
        <f t="shared" si="4"/>
        <v/>
      </c>
      <c r="M92" s="106" t="str">
        <f t="shared" si="5"/>
        <v/>
      </c>
      <c r="N92" s="31" t="str">
        <f t="shared" si="6"/>
        <v/>
      </c>
      <c r="O92" s="106" t="str">
        <f t="shared" si="7"/>
        <v/>
      </c>
    </row>
    <row r="93" spans="12:15" x14ac:dyDescent="0.25">
      <c r="L93" s="99" t="str">
        <f t="shared" si="4"/>
        <v/>
      </c>
      <c r="M93" s="106" t="str">
        <f t="shared" si="5"/>
        <v/>
      </c>
      <c r="N93" s="31" t="str">
        <f t="shared" si="6"/>
        <v/>
      </c>
      <c r="O93" s="106" t="str">
        <f t="shared" si="7"/>
        <v/>
      </c>
    </row>
    <row r="94" spans="12:15" x14ac:dyDescent="0.25">
      <c r="L94" s="99" t="str">
        <f t="shared" si="4"/>
        <v/>
      </c>
      <c r="M94" s="106" t="str">
        <f t="shared" si="5"/>
        <v/>
      </c>
      <c r="N94" s="31" t="str">
        <f t="shared" si="6"/>
        <v/>
      </c>
      <c r="O94" s="106" t="str">
        <f t="shared" si="7"/>
        <v/>
      </c>
    </row>
    <row r="95" spans="12:15" x14ac:dyDescent="0.25">
      <c r="L95" s="99" t="str">
        <f t="shared" si="4"/>
        <v/>
      </c>
      <c r="M95" s="106" t="str">
        <f t="shared" si="5"/>
        <v/>
      </c>
      <c r="N95" s="31" t="str">
        <f t="shared" si="6"/>
        <v/>
      </c>
      <c r="O95" s="106" t="str">
        <f t="shared" si="7"/>
        <v/>
      </c>
    </row>
    <row r="96" spans="12:15" x14ac:dyDescent="0.25">
      <c r="L96" s="99" t="str">
        <f t="shared" si="4"/>
        <v/>
      </c>
      <c r="M96" s="106" t="str">
        <f t="shared" si="5"/>
        <v/>
      </c>
      <c r="N96" s="31" t="str">
        <f t="shared" si="6"/>
        <v/>
      </c>
      <c r="O96" s="106" t="str">
        <f t="shared" si="7"/>
        <v/>
      </c>
    </row>
    <row r="97" spans="12:15" x14ac:dyDescent="0.25">
      <c r="L97" s="99" t="str">
        <f t="shared" si="4"/>
        <v/>
      </c>
      <c r="M97" s="106" t="str">
        <f t="shared" si="5"/>
        <v/>
      </c>
      <c r="N97" s="31" t="str">
        <f t="shared" si="6"/>
        <v/>
      </c>
      <c r="O97" s="106" t="str">
        <f t="shared" si="7"/>
        <v/>
      </c>
    </row>
    <row r="98" spans="12:15" x14ac:dyDescent="0.25">
      <c r="L98" s="99" t="str">
        <f t="shared" si="4"/>
        <v/>
      </c>
      <c r="M98" s="106" t="str">
        <f t="shared" si="5"/>
        <v/>
      </c>
      <c r="N98" s="31" t="str">
        <f t="shared" si="6"/>
        <v/>
      </c>
      <c r="O98" s="106" t="str">
        <f t="shared" si="7"/>
        <v/>
      </c>
    </row>
    <row r="99" spans="12:15" x14ac:dyDescent="0.25">
      <c r="L99" s="99" t="str">
        <f t="shared" si="4"/>
        <v/>
      </c>
      <c r="M99" s="106" t="str">
        <f t="shared" si="5"/>
        <v/>
      </c>
      <c r="N99" s="31" t="str">
        <f t="shared" si="6"/>
        <v/>
      </c>
      <c r="O99" s="106" t="str">
        <f t="shared" si="7"/>
        <v/>
      </c>
    </row>
    <row r="100" spans="12:15" x14ac:dyDescent="0.25">
      <c r="L100" s="99" t="str">
        <f t="shared" si="4"/>
        <v/>
      </c>
      <c r="M100" s="106" t="str">
        <f t="shared" si="5"/>
        <v/>
      </c>
      <c r="N100" s="31" t="str">
        <f t="shared" si="6"/>
        <v/>
      </c>
      <c r="O100" s="106" t="str">
        <f t="shared" si="7"/>
        <v/>
      </c>
    </row>
    <row r="101" spans="12:15" x14ac:dyDescent="0.25">
      <c r="L101" s="99" t="str">
        <f t="shared" si="4"/>
        <v/>
      </c>
      <c r="M101" s="106" t="str">
        <f t="shared" si="5"/>
        <v/>
      </c>
      <c r="N101" s="31" t="str">
        <f t="shared" si="6"/>
        <v/>
      </c>
      <c r="O101" s="106" t="str">
        <f t="shared" si="7"/>
        <v/>
      </c>
    </row>
    <row r="102" spans="12:15" x14ac:dyDescent="0.25">
      <c r="L102" s="99" t="str">
        <f t="shared" si="4"/>
        <v/>
      </c>
      <c r="M102" s="106" t="str">
        <f t="shared" si="5"/>
        <v/>
      </c>
      <c r="N102" s="31" t="str">
        <f t="shared" si="6"/>
        <v/>
      </c>
      <c r="O102" s="106" t="str">
        <f t="shared" si="7"/>
        <v/>
      </c>
    </row>
    <row r="103" spans="12:15" x14ac:dyDescent="0.25">
      <c r="L103" s="99" t="str">
        <f t="shared" si="4"/>
        <v/>
      </c>
      <c r="M103" s="106" t="str">
        <f t="shared" si="5"/>
        <v/>
      </c>
      <c r="N103" s="31" t="str">
        <f t="shared" si="6"/>
        <v/>
      </c>
      <c r="O103" s="106" t="str">
        <f t="shared" si="7"/>
        <v/>
      </c>
    </row>
    <row r="104" spans="12:15" x14ac:dyDescent="0.25">
      <c r="L104" s="99" t="str">
        <f t="shared" si="4"/>
        <v/>
      </c>
      <c r="M104" s="106" t="str">
        <f t="shared" si="5"/>
        <v/>
      </c>
      <c r="N104" s="31" t="str">
        <f t="shared" si="6"/>
        <v/>
      </c>
      <c r="O104" s="106" t="str">
        <f t="shared" si="7"/>
        <v/>
      </c>
    </row>
    <row r="105" spans="12:15" x14ac:dyDescent="0.25">
      <c r="L105" s="99" t="str">
        <f t="shared" si="4"/>
        <v/>
      </c>
      <c r="M105" s="106" t="str">
        <f t="shared" si="5"/>
        <v/>
      </c>
      <c r="N105" s="31" t="str">
        <f t="shared" si="6"/>
        <v/>
      </c>
      <c r="O105" s="106" t="str">
        <f t="shared" si="7"/>
        <v/>
      </c>
    </row>
    <row r="106" spans="12:15" x14ac:dyDescent="0.25">
      <c r="L106" s="99" t="str">
        <f t="shared" si="4"/>
        <v/>
      </c>
      <c r="M106" s="106" t="str">
        <f t="shared" si="5"/>
        <v/>
      </c>
      <c r="N106" s="31" t="str">
        <f t="shared" si="6"/>
        <v/>
      </c>
      <c r="O106" s="106" t="str">
        <f t="shared" si="7"/>
        <v/>
      </c>
    </row>
    <row r="107" spans="12:15" x14ac:dyDescent="0.25">
      <c r="L107" s="99" t="str">
        <f t="shared" si="4"/>
        <v/>
      </c>
      <c r="M107" s="106" t="str">
        <f t="shared" si="5"/>
        <v/>
      </c>
      <c r="N107" s="31" t="str">
        <f t="shared" si="6"/>
        <v/>
      </c>
      <c r="O107" s="106" t="str">
        <f t="shared" si="7"/>
        <v/>
      </c>
    </row>
    <row r="108" spans="12:15" x14ac:dyDescent="0.25">
      <c r="L108" s="99" t="str">
        <f t="shared" si="4"/>
        <v/>
      </c>
      <c r="M108" s="106" t="str">
        <f t="shared" si="5"/>
        <v/>
      </c>
      <c r="N108" s="31" t="str">
        <f t="shared" si="6"/>
        <v/>
      </c>
      <c r="O108" s="106" t="str">
        <f t="shared" si="7"/>
        <v/>
      </c>
    </row>
    <row r="109" spans="12:15" x14ac:dyDescent="0.25">
      <c r="L109" s="99" t="str">
        <f t="shared" si="4"/>
        <v/>
      </c>
      <c r="M109" s="106" t="str">
        <f t="shared" si="5"/>
        <v/>
      </c>
      <c r="N109" s="31" t="str">
        <f t="shared" si="6"/>
        <v/>
      </c>
      <c r="O109" s="106" t="str">
        <f t="shared" si="7"/>
        <v/>
      </c>
    </row>
    <row r="110" spans="12:15" x14ac:dyDescent="0.25">
      <c r="L110" s="99" t="str">
        <f t="shared" si="4"/>
        <v/>
      </c>
      <c r="M110" s="106" t="str">
        <f t="shared" si="5"/>
        <v/>
      </c>
      <c r="N110" s="31" t="str">
        <f t="shared" si="6"/>
        <v/>
      </c>
      <c r="O110" s="106" t="str">
        <f t="shared" si="7"/>
        <v/>
      </c>
    </row>
    <row r="111" spans="12:15" x14ac:dyDescent="0.25">
      <c r="L111" s="99" t="str">
        <f t="shared" si="4"/>
        <v/>
      </c>
      <c r="M111" s="106" t="str">
        <f t="shared" si="5"/>
        <v/>
      </c>
      <c r="N111" s="31" t="str">
        <f t="shared" si="6"/>
        <v/>
      </c>
      <c r="O111" s="106" t="str">
        <f t="shared" si="7"/>
        <v/>
      </c>
    </row>
    <row r="112" spans="12:15" x14ac:dyDescent="0.25">
      <c r="L112" s="99" t="str">
        <f t="shared" si="4"/>
        <v/>
      </c>
      <c r="M112" s="106" t="str">
        <f t="shared" si="5"/>
        <v/>
      </c>
      <c r="N112" s="31" t="str">
        <f t="shared" si="6"/>
        <v/>
      </c>
      <c r="O112" s="106" t="str">
        <f t="shared" si="7"/>
        <v/>
      </c>
    </row>
    <row r="113" spans="12:15" x14ac:dyDescent="0.25">
      <c r="L113" s="99" t="str">
        <f t="shared" si="4"/>
        <v/>
      </c>
      <c r="M113" s="106" t="str">
        <f t="shared" si="5"/>
        <v/>
      </c>
      <c r="N113" s="31" t="str">
        <f t="shared" si="6"/>
        <v/>
      </c>
      <c r="O113" s="106" t="str">
        <f t="shared" si="7"/>
        <v/>
      </c>
    </row>
    <row r="114" spans="12:15" x14ac:dyDescent="0.25">
      <c r="L114" s="99" t="str">
        <f t="shared" si="4"/>
        <v/>
      </c>
      <c r="M114" s="106" t="str">
        <f t="shared" si="5"/>
        <v/>
      </c>
      <c r="N114" s="31" t="str">
        <f t="shared" si="6"/>
        <v/>
      </c>
      <c r="O114" s="106" t="str">
        <f t="shared" si="7"/>
        <v/>
      </c>
    </row>
    <row r="115" spans="12:15" x14ac:dyDescent="0.25">
      <c r="L115" s="99" t="str">
        <f t="shared" si="4"/>
        <v/>
      </c>
      <c r="M115" s="106" t="str">
        <f t="shared" si="5"/>
        <v/>
      </c>
      <c r="N115" s="31" t="str">
        <f t="shared" si="6"/>
        <v/>
      </c>
      <c r="O115" s="106" t="str">
        <f t="shared" si="7"/>
        <v/>
      </c>
    </row>
    <row r="116" spans="12:15" x14ac:dyDescent="0.25">
      <c r="L116" s="99" t="str">
        <f t="shared" si="4"/>
        <v/>
      </c>
      <c r="M116" s="106" t="str">
        <f t="shared" si="5"/>
        <v/>
      </c>
      <c r="N116" s="31" t="str">
        <f t="shared" si="6"/>
        <v/>
      </c>
      <c r="O116" s="106" t="str">
        <f t="shared" si="7"/>
        <v/>
      </c>
    </row>
    <row r="117" spans="12:15" x14ac:dyDescent="0.25">
      <c r="L117" s="99" t="str">
        <f t="shared" si="4"/>
        <v/>
      </c>
      <c r="M117" s="106" t="str">
        <f t="shared" si="5"/>
        <v/>
      </c>
      <c r="N117" s="31" t="str">
        <f t="shared" si="6"/>
        <v/>
      </c>
      <c r="O117" s="106" t="str">
        <f t="shared" si="7"/>
        <v/>
      </c>
    </row>
    <row r="118" spans="12:15" x14ac:dyDescent="0.25">
      <c r="L118" s="99" t="str">
        <f t="shared" si="4"/>
        <v/>
      </c>
      <c r="M118" s="106" t="str">
        <f t="shared" si="5"/>
        <v/>
      </c>
      <c r="N118" s="31" t="str">
        <f t="shared" si="6"/>
        <v/>
      </c>
      <c r="O118" s="106" t="str">
        <f t="shared" si="7"/>
        <v/>
      </c>
    </row>
    <row r="119" spans="12:15" x14ac:dyDescent="0.25">
      <c r="L119" s="99" t="str">
        <f t="shared" si="4"/>
        <v/>
      </c>
      <c r="M119" s="106" t="str">
        <f t="shared" si="5"/>
        <v/>
      </c>
      <c r="N119" s="31" t="str">
        <f t="shared" si="6"/>
        <v/>
      </c>
      <c r="O119" s="106" t="str">
        <f t="shared" si="7"/>
        <v/>
      </c>
    </row>
    <row r="120" spans="12:15" x14ac:dyDescent="0.25">
      <c r="L120" s="99" t="str">
        <f t="shared" si="4"/>
        <v/>
      </c>
      <c r="M120" s="106" t="str">
        <f t="shared" si="5"/>
        <v/>
      </c>
      <c r="N120" s="31" t="str">
        <f t="shared" si="6"/>
        <v/>
      </c>
      <c r="O120" s="106" t="str">
        <f t="shared" si="7"/>
        <v/>
      </c>
    </row>
    <row r="121" spans="12:15" x14ac:dyDescent="0.25">
      <c r="L121" s="99" t="str">
        <f t="shared" si="4"/>
        <v/>
      </c>
      <c r="M121" s="106" t="str">
        <f t="shared" si="5"/>
        <v/>
      </c>
      <c r="N121" s="31" t="str">
        <f t="shared" si="6"/>
        <v/>
      </c>
      <c r="O121" s="106" t="str">
        <f t="shared" si="7"/>
        <v/>
      </c>
    </row>
    <row r="122" spans="12:15" x14ac:dyDescent="0.25">
      <c r="L122" s="99" t="str">
        <f t="shared" si="4"/>
        <v/>
      </c>
      <c r="M122" s="106" t="str">
        <f t="shared" si="5"/>
        <v/>
      </c>
      <c r="N122" s="31" t="str">
        <f t="shared" si="6"/>
        <v/>
      </c>
      <c r="O122" s="106" t="str">
        <f t="shared" si="7"/>
        <v/>
      </c>
    </row>
    <row r="123" spans="12:15" x14ac:dyDescent="0.25">
      <c r="L123" s="99" t="str">
        <f t="shared" si="4"/>
        <v/>
      </c>
      <c r="M123" s="106" t="str">
        <f t="shared" si="5"/>
        <v/>
      </c>
      <c r="N123" s="31" t="str">
        <f t="shared" si="6"/>
        <v/>
      </c>
      <c r="O123" s="106" t="str">
        <f t="shared" si="7"/>
        <v/>
      </c>
    </row>
    <row r="124" spans="12:15" x14ac:dyDescent="0.25">
      <c r="L124" s="99" t="str">
        <f t="shared" si="4"/>
        <v/>
      </c>
      <c r="M124" s="106" t="str">
        <f t="shared" si="5"/>
        <v/>
      </c>
      <c r="N124" s="31" t="str">
        <f t="shared" si="6"/>
        <v/>
      </c>
      <c r="O124" s="106" t="str">
        <f t="shared" si="7"/>
        <v/>
      </c>
    </row>
    <row r="125" spans="12:15" x14ac:dyDescent="0.25">
      <c r="L125" s="99" t="str">
        <f t="shared" si="4"/>
        <v/>
      </c>
      <c r="M125" s="106" t="str">
        <f t="shared" si="5"/>
        <v/>
      </c>
      <c r="N125" s="31" t="str">
        <f t="shared" si="6"/>
        <v/>
      </c>
      <c r="O125" s="106" t="str">
        <f t="shared" si="7"/>
        <v/>
      </c>
    </row>
    <row r="126" spans="12:15" x14ac:dyDescent="0.25">
      <c r="L126" s="99" t="str">
        <f t="shared" si="4"/>
        <v/>
      </c>
      <c r="M126" s="106" t="str">
        <f t="shared" si="5"/>
        <v/>
      </c>
      <c r="N126" s="31" t="str">
        <f t="shared" si="6"/>
        <v/>
      </c>
      <c r="O126" s="106" t="str">
        <f t="shared" si="7"/>
        <v/>
      </c>
    </row>
    <row r="127" spans="12:15" x14ac:dyDescent="0.25">
      <c r="L127" s="99" t="str">
        <f t="shared" si="4"/>
        <v/>
      </c>
      <c r="M127" s="106" t="str">
        <f t="shared" si="5"/>
        <v/>
      </c>
      <c r="N127" s="31" t="str">
        <f t="shared" si="6"/>
        <v/>
      </c>
      <c r="O127" s="106" t="str">
        <f t="shared" si="7"/>
        <v/>
      </c>
    </row>
    <row r="128" spans="12:15" ht="13.8" thickBot="1" x14ac:dyDescent="0.3">
      <c r="L128" s="100" t="str">
        <f t="shared" si="4"/>
        <v/>
      </c>
      <c r="M128" s="107" t="str">
        <f t="shared" si="5"/>
        <v/>
      </c>
      <c r="N128" s="32" t="str">
        <f t="shared" si="6"/>
        <v/>
      </c>
      <c r="O128" s="107" t="str">
        <f t="shared" si="7"/>
        <v/>
      </c>
    </row>
    <row r="129" spans="12:15" x14ac:dyDescent="0.25">
      <c r="L129" s="68" t="str">
        <f t="shared" si="4"/>
        <v/>
      </c>
      <c r="M129" s="87" t="str">
        <f t="shared" si="5"/>
        <v/>
      </c>
      <c r="N129" s="68" t="str">
        <f t="shared" si="6"/>
        <v/>
      </c>
      <c r="O129" s="87" t="str">
        <f t="shared" si="7"/>
        <v/>
      </c>
    </row>
    <row r="143" spans="12:15" x14ac:dyDescent="0.25">
      <c r="L143" s="68" t="str">
        <f t="shared" ref="L143:L206" si="8">IF(L142="","",IF(L142+1&gt;$C$8,"",L142+1))</f>
        <v/>
      </c>
    </row>
    <row r="144" spans="12:15" x14ac:dyDescent="0.25">
      <c r="L144" s="68" t="str">
        <f t="shared" si="8"/>
        <v/>
      </c>
    </row>
    <row r="145" spans="12:12" x14ac:dyDescent="0.25">
      <c r="L145" s="68" t="str">
        <f t="shared" si="8"/>
        <v/>
      </c>
    </row>
    <row r="146" spans="12:12" x14ac:dyDescent="0.25">
      <c r="L146" s="68" t="str">
        <f t="shared" si="8"/>
        <v/>
      </c>
    </row>
    <row r="147" spans="12:12" x14ac:dyDescent="0.25">
      <c r="L147" s="68" t="str">
        <f t="shared" si="8"/>
        <v/>
      </c>
    </row>
    <row r="148" spans="12:12" x14ac:dyDescent="0.25">
      <c r="L148" s="68" t="str">
        <f t="shared" si="8"/>
        <v/>
      </c>
    </row>
    <row r="149" spans="12:12" x14ac:dyDescent="0.25">
      <c r="L149" s="68" t="str">
        <f t="shared" si="8"/>
        <v/>
      </c>
    </row>
    <row r="150" spans="12:12" x14ac:dyDescent="0.25">
      <c r="L150" s="68" t="str">
        <f t="shared" si="8"/>
        <v/>
      </c>
    </row>
    <row r="151" spans="12:12" x14ac:dyDescent="0.25">
      <c r="L151" s="68" t="str">
        <f t="shared" si="8"/>
        <v/>
      </c>
    </row>
    <row r="152" spans="12:12" x14ac:dyDescent="0.25">
      <c r="L152" s="68" t="str">
        <f t="shared" si="8"/>
        <v/>
      </c>
    </row>
    <row r="153" spans="12:12" x14ac:dyDescent="0.25">
      <c r="L153" s="68" t="str">
        <f t="shared" si="8"/>
        <v/>
      </c>
    </row>
    <row r="154" spans="12:12" x14ac:dyDescent="0.25">
      <c r="L154" s="68" t="str">
        <f t="shared" si="8"/>
        <v/>
      </c>
    </row>
    <row r="155" spans="12:12" x14ac:dyDescent="0.25">
      <c r="L155" s="68" t="str">
        <f t="shared" si="8"/>
        <v/>
      </c>
    </row>
    <row r="156" spans="12:12" x14ac:dyDescent="0.25">
      <c r="L156" s="68" t="str">
        <f t="shared" si="8"/>
        <v/>
      </c>
    </row>
    <row r="157" spans="12:12" x14ac:dyDescent="0.25">
      <c r="L157" s="68" t="str">
        <f t="shared" si="8"/>
        <v/>
      </c>
    </row>
    <row r="158" spans="12:12" x14ac:dyDescent="0.25">
      <c r="L158" s="68" t="str">
        <f t="shared" si="8"/>
        <v/>
      </c>
    </row>
    <row r="159" spans="12:12" x14ac:dyDescent="0.25">
      <c r="L159" s="68" t="str">
        <f t="shared" si="8"/>
        <v/>
      </c>
    </row>
    <row r="160" spans="12:12" x14ac:dyDescent="0.25">
      <c r="L160" s="68" t="str">
        <f t="shared" si="8"/>
        <v/>
      </c>
    </row>
    <row r="161" spans="12:12" x14ac:dyDescent="0.25">
      <c r="L161" s="68" t="str">
        <f t="shared" si="8"/>
        <v/>
      </c>
    </row>
    <row r="162" spans="12:12" x14ac:dyDescent="0.25">
      <c r="L162" s="68" t="str">
        <f t="shared" si="8"/>
        <v/>
      </c>
    </row>
    <row r="163" spans="12:12" x14ac:dyDescent="0.25">
      <c r="L163" s="68" t="str">
        <f t="shared" si="8"/>
        <v/>
      </c>
    </row>
    <row r="164" spans="12:12" x14ac:dyDescent="0.25">
      <c r="L164" s="68" t="str">
        <f t="shared" si="8"/>
        <v/>
      </c>
    </row>
    <row r="165" spans="12:12" x14ac:dyDescent="0.25">
      <c r="L165" s="68" t="str">
        <f t="shared" si="8"/>
        <v/>
      </c>
    </row>
    <row r="166" spans="12:12" x14ac:dyDescent="0.25">
      <c r="L166" s="68" t="str">
        <f t="shared" si="8"/>
        <v/>
      </c>
    </row>
    <row r="167" spans="12:12" x14ac:dyDescent="0.25">
      <c r="L167" s="68" t="str">
        <f t="shared" si="8"/>
        <v/>
      </c>
    </row>
    <row r="168" spans="12:12" x14ac:dyDescent="0.25">
      <c r="L168" s="68" t="str">
        <f t="shared" si="8"/>
        <v/>
      </c>
    </row>
    <row r="169" spans="12:12" x14ac:dyDescent="0.25">
      <c r="L169" s="68" t="str">
        <f t="shared" si="8"/>
        <v/>
      </c>
    </row>
    <row r="170" spans="12:12" x14ac:dyDescent="0.25">
      <c r="L170" s="68" t="str">
        <f t="shared" si="8"/>
        <v/>
      </c>
    </row>
    <row r="171" spans="12:12" x14ac:dyDescent="0.25">
      <c r="L171" s="68" t="str">
        <f t="shared" si="8"/>
        <v/>
      </c>
    </row>
    <row r="172" spans="12:12" x14ac:dyDescent="0.25">
      <c r="L172" s="68" t="str">
        <f t="shared" si="8"/>
        <v/>
      </c>
    </row>
    <row r="173" spans="12:12" x14ac:dyDescent="0.25">
      <c r="L173" s="68" t="str">
        <f t="shared" si="8"/>
        <v/>
      </c>
    </row>
    <row r="174" spans="12:12" x14ac:dyDescent="0.25">
      <c r="L174" s="68" t="str">
        <f t="shared" si="8"/>
        <v/>
      </c>
    </row>
    <row r="175" spans="12:12" x14ac:dyDescent="0.25">
      <c r="L175" s="68" t="str">
        <f t="shared" si="8"/>
        <v/>
      </c>
    </row>
    <row r="176" spans="12:12" x14ac:dyDescent="0.25">
      <c r="L176" s="68" t="str">
        <f t="shared" si="8"/>
        <v/>
      </c>
    </row>
    <row r="177" spans="12:12" x14ac:dyDescent="0.25">
      <c r="L177" s="68" t="str">
        <f t="shared" si="8"/>
        <v/>
      </c>
    </row>
    <row r="178" spans="12:12" x14ac:dyDescent="0.25">
      <c r="L178" s="68" t="str">
        <f t="shared" si="8"/>
        <v/>
      </c>
    </row>
    <row r="179" spans="12:12" x14ac:dyDescent="0.25">
      <c r="L179" s="68" t="str">
        <f t="shared" si="8"/>
        <v/>
      </c>
    </row>
    <row r="180" spans="12:12" x14ac:dyDescent="0.25">
      <c r="L180" s="68" t="str">
        <f t="shared" si="8"/>
        <v/>
      </c>
    </row>
    <row r="181" spans="12:12" x14ac:dyDescent="0.25">
      <c r="L181" s="68" t="str">
        <f t="shared" si="8"/>
        <v/>
      </c>
    </row>
    <row r="182" spans="12:12" x14ac:dyDescent="0.25">
      <c r="L182" s="68" t="str">
        <f t="shared" si="8"/>
        <v/>
      </c>
    </row>
    <row r="183" spans="12:12" x14ac:dyDescent="0.25">
      <c r="L183" s="68" t="str">
        <f t="shared" si="8"/>
        <v/>
      </c>
    </row>
    <row r="184" spans="12:12" x14ac:dyDescent="0.25">
      <c r="L184" s="68" t="str">
        <f t="shared" si="8"/>
        <v/>
      </c>
    </row>
    <row r="185" spans="12:12" x14ac:dyDescent="0.25">
      <c r="L185" s="68" t="str">
        <f t="shared" si="8"/>
        <v/>
      </c>
    </row>
    <row r="186" spans="12:12" x14ac:dyDescent="0.25">
      <c r="L186" s="68" t="str">
        <f t="shared" si="8"/>
        <v/>
      </c>
    </row>
    <row r="187" spans="12:12" x14ac:dyDescent="0.25">
      <c r="L187" s="68" t="str">
        <f t="shared" si="8"/>
        <v/>
      </c>
    </row>
    <row r="188" spans="12:12" x14ac:dyDescent="0.25">
      <c r="L188" s="68" t="str">
        <f t="shared" si="8"/>
        <v/>
      </c>
    </row>
    <row r="189" spans="12:12" x14ac:dyDescent="0.25">
      <c r="L189" s="68" t="str">
        <f t="shared" si="8"/>
        <v/>
      </c>
    </row>
    <row r="190" spans="12:12" x14ac:dyDescent="0.25">
      <c r="L190" s="68" t="str">
        <f t="shared" si="8"/>
        <v/>
      </c>
    </row>
    <row r="191" spans="12:12" x14ac:dyDescent="0.25">
      <c r="L191" s="68" t="str">
        <f t="shared" si="8"/>
        <v/>
      </c>
    </row>
    <row r="192" spans="12:12" x14ac:dyDescent="0.25">
      <c r="L192" s="68" t="str">
        <f t="shared" si="8"/>
        <v/>
      </c>
    </row>
    <row r="193" spans="12:12" x14ac:dyDescent="0.25">
      <c r="L193" s="68" t="str">
        <f t="shared" si="8"/>
        <v/>
      </c>
    </row>
    <row r="194" spans="12:12" x14ac:dyDescent="0.25">
      <c r="L194" s="68" t="str">
        <f t="shared" si="8"/>
        <v/>
      </c>
    </row>
    <row r="195" spans="12:12" x14ac:dyDescent="0.25">
      <c r="L195" s="68" t="str">
        <f t="shared" si="8"/>
        <v/>
      </c>
    </row>
    <row r="196" spans="12:12" x14ac:dyDescent="0.25">
      <c r="L196" s="68" t="str">
        <f t="shared" si="8"/>
        <v/>
      </c>
    </row>
    <row r="197" spans="12:12" x14ac:dyDescent="0.25">
      <c r="L197" s="68" t="str">
        <f t="shared" si="8"/>
        <v/>
      </c>
    </row>
    <row r="198" spans="12:12" x14ac:dyDescent="0.25">
      <c r="L198" s="68" t="str">
        <f t="shared" si="8"/>
        <v/>
      </c>
    </row>
    <row r="199" spans="12:12" x14ac:dyDescent="0.25">
      <c r="L199" s="68" t="str">
        <f t="shared" si="8"/>
        <v/>
      </c>
    </row>
    <row r="200" spans="12:12" x14ac:dyDescent="0.25">
      <c r="L200" s="68" t="str">
        <f t="shared" si="8"/>
        <v/>
      </c>
    </row>
    <row r="201" spans="12:12" x14ac:dyDescent="0.25">
      <c r="L201" s="68" t="str">
        <f t="shared" si="8"/>
        <v/>
      </c>
    </row>
    <row r="202" spans="12:12" x14ac:dyDescent="0.25">
      <c r="L202" s="68" t="str">
        <f t="shared" si="8"/>
        <v/>
      </c>
    </row>
    <row r="203" spans="12:12" x14ac:dyDescent="0.25">
      <c r="L203" s="68" t="str">
        <f t="shared" si="8"/>
        <v/>
      </c>
    </row>
    <row r="204" spans="12:12" x14ac:dyDescent="0.25">
      <c r="L204" s="68" t="str">
        <f t="shared" si="8"/>
        <v/>
      </c>
    </row>
    <row r="205" spans="12:12" x14ac:dyDescent="0.25">
      <c r="L205" s="68" t="str">
        <f t="shared" si="8"/>
        <v/>
      </c>
    </row>
    <row r="206" spans="12:12" x14ac:dyDescent="0.25">
      <c r="L206" s="68" t="str">
        <f t="shared" si="8"/>
        <v/>
      </c>
    </row>
    <row r="207" spans="12:12" x14ac:dyDescent="0.25">
      <c r="L207" s="68" t="str">
        <f t="shared" ref="L207:L226" si="9">IF(L206="","",IF(L206+1&gt;$C$8,"",L206+1))</f>
        <v/>
      </c>
    </row>
    <row r="208" spans="12:12" x14ac:dyDescent="0.25">
      <c r="L208" s="68" t="str">
        <f t="shared" si="9"/>
        <v/>
      </c>
    </row>
    <row r="209" spans="12:12" x14ac:dyDescent="0.25">
      <c r="L209" s="68" t="str">
        <f t="shared" si="9"/>
        <v/>
      </c>
    </row>
    <row r="210" spans="12:12" x14ac:dyDescent="0.25">
      <c r="L210" s="68" t="str">
        <f t="shared" si="9"/>
        <v/>
      </c>
    </row>
    <row r="211" spans="12:12" x14ac:dyDescent="0.25">
      <c r="L211" s="68" t="str">
        <f t="shared" si="9"/>
        <v/>
      </c>
    </row>
    <row r="212" spans="12:12" x14ac:dyDescent="0.25">
      <c r="L212" s="68" t="str">
        <f t="shared" si="9"/>
        <v/>
      </c>
    </row>
    <row r="213" spans="12:12" x14ac:dyDescent="0.25">
      <c r="L213" s="68" t="str">
        <f t="shared" si="9"/>
        <v/>
      </c>
    </row>
    <row r="214" spans="12:12" x14ac:dyDescent="0.25">
      <c r="L214" s="68" t="str">
        <f t="shared" si="9"/>
        <v/>
      </c>
    </row>
    <row r="215" spans="12:12" x14ac:dyDescent="0.25">
      <c r="L215" s="68" t="str">
        <f t="shared" si="9"/>
        <v/>
      </c>
    </row>
    <row r="216" spans="12:12" x14ac:dyDescent="0.25">
      <c r="L216" s="68" t="str">
        <f t="shared" si="9"/>
        <v/>
      </c>
    </row>
    <row r="217" spans="12:12" x14ac:dyDescent="0.25">
      <c r="L217" s="68" t="str">
        <f t="shared" si="9"/>
        <v/>
      </c>
    </row>
    <row r="218" spans="12:12" x14ac:dyDescent="0.25">
      <c r="L218" s="68" t="str">
        <f t="shared" si="9"/>
        <v/>
      </c>
    </row>
    <row r="219" spans="12:12" x14ac:dyDescent="0.25">
      <c r="L219" s="68" t="str">
        <f t="shared" si="9"/>
        <v/>
      </c>
    </row>
    <row r="220" spans="12:12" x14ac:dyDescent="0.25">
      <c r="L220" s="68" t="str">
        <f t="shared" si="9"/>
        <v/>
      </c>
    </row>
    <row r="221" spans="12:12" x14ac:dyDescent="0.25">
      <c r="L221" s="68" t="str">
        <f t="shared" si="9"/>
        <v/>
      </c>
    </row>
    <row r="222" spans="12:12" x14ac:dyDescent="0.25">
      <c r="L222" s="68" t="str">
        <f t="shared" si="9"/>
        <v/>
      </c>
    </row>
    <row r="223" spans="12:12" x14ac:dyDescent="0.25">
      <c r="L223" s="68" t="str">
        <f t="shared" si="9"/>
        <v/>
      </c>
    </row>
    <row r="224" spans="12:12" x14ac:dyDescent="0.25">
      <c r="L224" s="68" t="str">
        <f t="shared" si="9"/>
        <v/>
      </c>
    </row>
    <row r="225" spans="12:12" x14ac:dyDescent="0.25">
      <c r="L225" s="68" t="str">
        <f t="shared" si="9"/>
        <v/>
      </c>
    </row>
    <row r="226" spans="12:12" x14ac:dyDescent="0.25">
      <c r="L226" s="68" t="str">
        <f t="shared" si="9"/>
        <v/>
      </c>
    </row>
  </sheetData>
  <mergeCells count="3">
    <mergeCell ref="A1:A5"/>
    <mergeCell ref="A6:A8"/>
    <mergeCell ref="A9:A10"/>
  </mergeCells>
  <pageMargins left="0.75" right="0.75" top="1" bottom="1" header="0.5" footer="0.5"/>
  <pageSetup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93D4E-23B7-478A-A591-26588A953147}">
  <dimension ref="A1:N19"/>
  <sheetViews>
    <sheetView zoomScale="116" zoomScaleNormal="116" workbookViewId="0">
      <selection activeCell="K5" sqref="K5"/>
    </sheetView>
  </sheetViews>
  <sheetFormatPr baseColWidth="10" defaultColWidth="9.21875" defaultRowHeight="13.2" x14ac:dyDescent="0.25"/>
  <cols>
    <col min="1" max="1" width="11.77734375" style="68" customWidth="1"/>
    <col min="2" max="2" width="9.44140625" style="68" bestFit="1" customWidth="1"/>
    <col min="3" max="8" width="9.21875" style="68"/>
    <col min="9" max="9" width="20.21875" style="68" bestFit="1" customWidth="1"/>
    <col min="10" max="10" width="21.5546875" style="68" bestFit="1" customWidth="1"/>
    <col min="11" max="16384" width="9.21875" style="68"/>
  </cols>
  <sheetData>
    <row r="1" spans="1:14" x14ac:dyDescent="0.25">
      <c r="A1" s="69" t="s">
        <v>71</v>
      </c>
      <c r="B1" s="69" t="s">
        <v>6</v>
      </c>
      <c r="I1" s="69" t="s">
        <v>147</v>
      </c>
      <c r="J1" s="18">
        <v>0.1</v>
      </c>
    </row>
    <row r="2" spans="1:14" x14ac:dyDescent="0.25">
      <c r="A2" s="287">
        <v>0</v>
      </c>
      <c r="B2" s="288">
        <v>45601</v>
      </c>
      <c r="C2" s="289" t="s">
        <v>323</v>
      </c>
      <c r="D2" s="289"/>
      <c r="E2" s="289"/>
      <c r="F2" s="289"/>
      <c r="G2" s="289"/>
    </row>
    <row r="3" spans="1:14" x14ac:dyDescent="0.25">
      <c r="A3" s="80"/>
      <c r="B3" s="138"/>
      <c r="I3" s="69" t="s">
        <v>324</v>
      </c>
      <c r="J3" s="69" t="s">
        <v>169</v>
      </c>
      <c r="K3" s="69" t="s">
        <v>146</v>
      </c>
    </row>
    <row r="4" spans="1:14" x14ac:dyDescent="0.25">
      <c r="A4" s="80" t="s">
        <v>325</v>
      </c>
      <c r="B4" s="290">
        <f>EDATE(B2,6)</f>
        <v>45782</v>
      </c>
      <c r="C4" s="68" t="s">
        <v>82</v>
      </c>
      <c r="I4" s="70"/>
      <c r="J4" s="12">
        <v>-100</v>
      </c>
      <c r="K4" s="291">
        <f>J4</f>
        <v>-100</v>
      </c>
    </row>
    <row r="5" spans="1:14" x14ac:dyDescent="0.25">
      <c r="A5" s="80"/>
      <c r="B5" s="138"/>
      <c r="I5" s="80">
        <v>1</v>
      </c>
      <c r="J5" s="2">
        <f>-J1*J4/2</f>
        <v>5</v>
      </c>
      <c r="K5" s="292">
        <f t="shared" ref="K5:K10" si="0">J5/((1+$K$12/2)^I5)</f>
        <v>4.761904813548024</v>
      </c>
    </row>
    <row r="6" spans="1:14" x14ac:dyDescent="0.25">
      <c r="A6" s="80" t="s">
        <v>326</v>
      </c>
      <c r="B6" s="290">
        <f>EDATE(B4,6)</f>
        <v>45966</v>
      </c>
      <c r="C6" s="68" t="s">
        <v>83</v>
      </c>
      <c r="I6" s="80">
        <v>2</v>
      </c>
      <c r="J6" s="2">
        <f>J5</f>
        <v>5</v>
      </c>
      <c r="K6" s="292">
        <f t="shared" si="0"/>
        <v>4.5351474906583693</v>
      </c>
    </row>
    <row r="7" spans="1:14" x14ac:dyDescent="0.25">
      <c r="A7" s="80"/>
      <c r="B7" s="138"/>
      <c r="I7" s="80">
        <v>3</v>
      </c>
      <c r="J7" s="2">
        <f>J6</f>
        <v>5</v>
      </c>
      <c r="K7" s="292">
        <f t="shared" si="0"/>
        <v>4.3191881331832658</v>
      </c>
    </row>
    <row r="8" spans="1:14" x14ac:dyDescent="0.25">
      <c r="A8" s="80" t="s">
        <v>327</v>
      </c>
      <c r="B8" s="290">
        <f>EDATE(B6,6)</f>
        <v>46147</v>
      </c>
      <c r="C8" s="68" t="s">
        <v>84</v>
      </c>
      <c r="I8" s="80">
        <v>4</v>
      </c>
      <c r="J8" s="2">
        <f>J7</f>
        <v>5</v>
      </c>
      <c r="K8" s="292">
        <f t="shared" si="0"/>
        <v>4.1135125524049805</v>
      </c>
    </row>
    <row r="9" spans="1:14" x14ac:dyDescent="0.25">
      <c r="A9" s="80"/>
      <c r="B9" s="138"/>
      <c r="I9" s="80">
        <v>5</v>
      </c>
      <c r="J9" s="2">
        <f>J8</f>
        <v>5</v>
      </c>
      <c r="K9" s="292">
        <f t="shared" si="0"/>
        <v>3.9176310447774991</v>
      </c>
    </row>
    <row r="10" spans="1:14" x14ac:dyDescent="0.25">
      <c r="A10" s="80" t="s">
        <v>328</v>
      </c>
      <c r="B10" s="290">
        <f>EDATE(B8,6)</f>
        <v>46331</v>
      </c>
      <c r="C10" s="68" t="s">
        <v>85</v>
      </c>
      <c r="I10" s="83">
        <v>6</v>
      </c>
      <c r="J10" s="4">
        <f>J9-J4</f>
        <v>105</v>
      </c>
      <c r="K10" s="293">
        <f t="shared" si="0"/>
        <v>78.352621745290818</v>
      </c>
    </row>
    <row r="11" spans="1:14" x14ac:dyDescent="0.25">
      <c r="A11" s="80"/>
      <c r="B11" s="138"/>
      <c r="J11" s="77" t="s">
        <v>329</v>
      </c>
      <c r="K11" s="153">
        <f>SUM(K4:K10)</f>
        <v>5.7798629597982654E-6</v>
      </c>
    </row>
    <row r="12" spans="1:14" x14ac:dyDescent="0.25">
      <c r="A12" s="80" t="s">
        <v>330</v>
      </c>
      <c r="B12" s="290">
        <f>EDATE(B10,6)</f>
        <v>46512</v>
      </c>
      <c r="C12" s="68" t="s">
        <v>86</v>
      </c>
      <c r="J12" s="69" t="s">
        <v>331</v>
      </c>
      <c r="K12" s="18">
        <v>9.9999977225321446E-2</v>
      </c>
      <c r="L12" s="68" t="s">
        <v>332</v>
      </c>
    </row>
    <row r="13" spans="1:14" x14ac:dyDescent="0.25">
      <c r="A13" s="80"/>
      <c r="B13" s="138"/>
      <c r="J13" s="77" t="s">
        <v>333</v>
      </c>
      <c r="K13" s="18">
        <f>YIELD(B2,B14,J1,-J4,-J4,2,0)</f>
        <v>0.1</v>
      </c>
    </row>
    <row r="14" spans="1:14" x14ac:dyDescent="0.25">
      <c r="A14" s="83" t="s">
        <v>334</v>
      </c>
      <c r="B14" s="294">
        <f>EDATE(B12,6)</f>
        <v>46696</v>
      </c>
      <c r="C14" s="68" t="s">
        <v>87</v>
      </c>
    </row>
    <row r="15" spans="1:14" x14ac:dyDescent="0.25">
      <c r="J15" s="265" t="s">
        <v>335</v>
      </c>
      <c r="K15" s="265"/>
      <c r="L15" s="265"/>
      <c r="M15" s="265"/>
      <c r="N15" s="265"/>
    </row>
    <row r="16" spans="1:14" x14ac:dyDescent="0.25">
      <c r="A16" s="295" t="s">
        <v>336</v>
      </c>
      <c r="B16" s="296"/>
      <c r="C16" s="295"/>
      <c r="D16" s="295"/>
      <c r="E16" s="295"/>
    </row>
    <row r="17" spans="1:5" x14ac:dyDescent="0.25">
      <c r="A17" s="295" t="s">
        <v>337</v>
      </c>
      <c r="B17" s="296"/>
      <c r="C17" s="295"/>
      <c r="D17" s="295"/>
      <c r="E17" s="295"/>
    </row>
    <row r="18" spans="1:5" x14ac:dyDescent="0.25">
      <c r="A18" s="295" t="s">
        <v>124</v>
      </c>
      <c r="B18" s="295"/>
      <c r="C18" s="295"/>
      <c r="D18" s="295"/>
      <c r="E18" s="295"/>
    </row>
    <row r="19" spans="1:5" x14ac:dyDescent="0.25">
      <c r="A19" s="295" t="s">
        <v>338</v>
      </c>
      <c r="B19" s="295"/>
      <c r="C19" s="295"/>
      <c r="D19" s="295"/>
      <c r="E19" s="295"/>
    </row>
  </sheetData>
  <pageMargins left="0.75" right="0.75" top="1" bottom="1" header="0.5" footer="0.5"/>
  <pageSetup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F92B-82A9-42D2-8F13-121C733D8B91}">
  <dimension ref="A1:M18"/>
  <sheetViews>
    <sheetView zoomScale="116" zoomScaleNormal="116" workbookViewId="0">
      <selection activeCell="K12" sqref="K12"/>
    </sheetView>
  </sheetViews>
  <sheetFormatPr baseColWidth="10" defaultColWidth="9.21875" defaultRowHeight="13.2" x14ac:dyDescent="0.25"/>
  <cols>
    <col min="1" max="1" width="11.77734375" style="68" customWidth="1"/>
    <col min="2" max="2" width="9.5546875" style="68" bestFit="1" customWidth="1"/>
    <col min="3" max="7" width="9.21875" style="68"/>
    <col min="8" max="8" width="32.33203125" style="68" customWidth="1"/>
    <col min="9" max="9" width="11.6640625" style="68" bestFit="1" customWidth="1"/>
    <col min="10" max="10" width="21.109375" style="68" customWidth="1"/>
    <col min="11" max="16384" width="9.21875" style="68"/>
  </cols>
  <sheetData>
    <row r="1" spans="1:13" x14ac:dyDescent="0.25">
      <c r="A1" s="69" t="s">
        <v>71</v>
      </c>
      <c r="B1" s="69" t="s">
        <v>6</v>
      </c>
      <c r="I1" s="69" t="s">
        <v>43</v>
      </c>
      <c r="J1" s="18">
        <f>'[1]Slide 20a'!J1</f>
        <v>0.1</v>
      </c>
      <c r="K1" s="137"/>
    </row>
    <row r="2" spans="1:13" x14ac:dyDescent="0.25">
      <c r="A2" s="70" t="s">
        <v>339</v>
      </c>
      <c r="B2" s="290">
        <f>'[1]Slide 20a'!B4</f>
        <v>45782</v>
      </c>
    </row>
    <row r="3" spans="1:13" x14ac:dyDescent="0.25">
      <c r="A3" s="80"/>
      <c r="B3" s="138"/>
      <c r="I3" s="69" t="s">
        <v>324</v>
      </c>
      <c r="J3" s="69" t="s">
        <v>169</v>
      </c>
      <c r="K3" s="69" t="s">
        <v>146</v>
      </c>
    </row>
    <row r="4" spans="1:13" x14ac:dyDescent="0.25">
      <c r="A4" s="297">
        <v>0</v>
      </c>
      <c r="B4" s="298">
        <f>EDATE(B2,6)</f>
        <v>45966</v>
      </c>
      <c r="C4" s="289" t="s">
        <v>340</v>
      </c>
      <c r="D4" s="289"/>
      <c r="E4" s="289"/>
      <c r="F4" s="289"/>
      <c r="G4" s="289"/>
      <c r="H4" s="289"/>
      <c r="I4" s="70"/>
      <c r="J4" s="12"/>
      <c r="K4" s="291"/>
    </row>
    <row r="5" spans="1:13" x14ac:dyDescent="0.25">
      <c r="A5" s="80"/>
      <c r="B5" s="138"/>
      <c r="I5" s="80"/>
      <c r="J5" s="2">
        <v>-102</v>
      </c>
      <c r="K5" s="292">
        <f>J5</f>
        <v>-102</v>
      </c>
    </row>
    <row r="6" spans="1:13" x14ac:dyDescent="0.25">
      <c r="A6" s="80" t="s">
        <v>325</v>
      </c>
      <c r="B6" s="290">
        <f>EDATE(B4,6)</f>
        <v>46147</v>
      </c>
      <c r="C6" s="68" t="s">
        <v>341</v>
      </c>
      <c r="I6" s="80">
        <f>I5+1</f>
        <v>1</v>
      </c>
      <c r="J6" s="2">
        <f>J1*0.5*100</f>
        <v>5</v>
      </c>
      <c r="K6" s="292">
        <f>J6/((1+$K$12/2)^I6)</f>
        <v>4.7872886791452336</v>
      </c>
    </row>
    <row r="7" spans="1:13" x14ac:dyDescent="0.25">
      <c r="A7" s="80"/>
      <c r="B7" s="138"/>
      <c r="I7" s="80">
        <f t="shared" ref="I7:I9" si="0">I6+1</f>
        <v>2</v>
      </c>
      <c r="J7" s="2">
        <f>J6</f>
        <v>5</v>
      </c>
      <c r="K7" s="292">
        <f>J7/((1+$K$12/2)^I7)</f>
        <v>4.583626579494422</v>
      </c>
    </row>
    <row r="8" spans="1:13" x14ac:dyDescent="0.25">
      <c r="A8" s="80" t="s">
        <v>326</v>
      </c>
      <c r="B8" s="290">
        <f>EDATE(B6,6)</f>
        <v>46331</v>
      </c>
      <c r="C8" s="68" t="s">
        <v>342</v>
      </c>
      <c r="I8" s="80">
        <f t="shared" si="0"/>
        <v>3</v>
      </c>
      <c r="J8" s="2">
        <f>J7</f>
        <v>5</v>
      </c>
      <c r="K8" s="292">
        <f>J8/((1+$K$12/2)^I8)</f>
        <v>4.3886287266885677</v>
      </c>
    </row>
    <row r="9" spans="1:13" x14ac:dyDescent="0.25">
      <c r="A9" s="80"/>
      <c r="B9" s="138"/>
      <c r="I9" s="80">
        <f t="shared" si="0"/>
        <v>4</v>
      </c>
      <c r="J9" s="2">
        <f>J8+100</f>
        <v>105</v>
      </c>
      <c r="K9" s="292">
        <f>J9/((1+$K$12/2)^I9)</f>
        <v>88.240457005040497</v>
      </c>
    </row>
    <row r="10" spans="1:13" x14ac:dyDescent="0.25">
      <c r="A10" s="80" t="s">
        <v>327</v>
      </c>
      <c r="B10" s="290">
        <f>EDATE(B8,6)</f>
        <v>46512</v>
      </c>
      <c r="C10" s="68" t="s">
        <v>343</v>
      </c>
      <c r="I10" s="80"/>
      <c r="J10" s="2"/>
      <c r="K10" s="293"/>
    </row>
    <row r="11" spans="1:13" x14ac:dyDescent="0.25">
      <c r="A11" s="80"/>
      <c r="B11" s="138"/>
      <c r="I11" s="137"/>
      <c r="J11" s="77" t="s">
        <v>329</v>
      </c>
      <c r="K11" s="153">
        <f>SUM(K4:K10)</f>
        <v>9.9036871858970699E-7</v>
      </c>
    </row>
    <row r="12" spans="1:13" x14ac:dyDescent="0.25">
      <c r="A12" s="83" t="s">
        <v>328</v>
      </c>
      <c r="B12" s="294">
        <f>EDATE(B10,6)</f>
        <v>46696</v>
      </c>
      <c r="C12" s="68" t="s">
        <v>344</v>
      </c>
      <c r="J12" s="69" t="s">
        <v>331</v>
      </c>
      <c r="K12" s="18">
        <v>8.8865048720122922E-2</v>
      </c>
      <c r="L12" s="68" t="s">
        <v>332</v>
      </c>
    </row>
    <row r="13" spans="1:13" x14ac:dyDescent="0.25">
      <c r="J13" s="77" t="s">
        <v>333</v>
      </c>
      <c r="K13" s="18">
        <f>YIELD(B4,B12,J1,-J5,100,2,0)</f>
        <v>8.8865054163014379E-2</v>
      </c>
    </row>
    <row r="15" spans="1:13" x14ac:dyDescent="0.25">
      <c r="A15" s="295" t="s">
        <v>336</v>
      </c>
      <c r="B15" s="295"/>
      <c r="C15" s="295"/>
      <c r="D15" s="295"/>
      <c r="E15" s="295"/>
      <c r="J15" s="265" t="s">
        <v>345</v>
      </c>
      <c r="K15" s="265"/>
      <c r="L15" s="265"/>
      <c r="M15" s="265"/>
    </row>
    <row r="16" spans="1:13" x14ac:dyDescent="0.25">
      <c r="A16" s="295" t="s">
        <v>346</v>
      </c>
      <c r="B16" s="86"/>
      <c r="C16" s="86"/>
      <c r="D16" s="86"/>
      <c r="E16" s="86"/>
    </row>
    <row r="17" spans="1:5" x14ac:dyDescent="0.25">
      <c r="A17" s="295" t="s">
        <v>347</v>
      </c>
      <c r="B17" s="86"/>
      <c r="C17" s="86"/>
      <c r="D17" s="86"/>
      <c r="E17" s="86"/>
    </row>
    <row r="18" spans="1:5" x14ac:dyDescent="0.25">
      <c r="A18" s="295" t="s">
        <v>348</v>
      </c>
      <c r="B18" s="86"/>
      <c r="C18" s="86"/>
      <c r="D18" s="86"/>
      <c r="E18" s="86"/>
    </row>
  </sheetData>
  <pageMargins left="0.75" right="0.75" top="1" bottom="1" header="0.5" footer="0.5"/>
  <pageSetup orientation="portrait"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41672-A931-44C5-BE70-9A102BEB1CAD}">
  <dimension ref="A1:N29"/>
  <sheetViews>
    <sheetView zoomScale="99" zoomScaleNormal="99" workbookViewId="0">
      <selection activeCell="K15" sqref="K15"/>
    </sheetView>
  </sheetViews>
  <sheetFormatPr baseColWidth="10" defaultColWidth="9.21875" defaultRowHeight="13.2" x14ac:dyDescent="0.25"/>
  <cols>
    <col min="1" max="1" width="15.109375" style="68" customWidth="1"/>
    <col min="2" max="2" width="9.44140625" style="68" bestFit="1" customWidth="1"/>
    <col min="3" max="8" width="9.21875" style="68"/>
    <col min="9" max="9" width="11.77734375" style="68" bestFit="1" customWidth="1"/>
    <col min="10" max="10" width="22.77734375" style="68" customWidth="1"/>
    <col min="11" max="16384" width="9.21875" style="68"/>
  </cols>
  <sheetData>
    <row r="1" spans="1:14" x14ac:dyDescent="0.25">
      <c r="A1" s="69" t="s">
        <v>71</v>
      </c>
      <c r="B1" s="69" t="s">
        <v>6</v>
      </c>
      <c r="I1" s="69" t="s">
        <v>43</v>
      </c>
      <c r="J1" s="18">
        <f>'[1]Slide 20b'!J1</f>
        <v>0.1</v>
      </c>
      <c r="K1" s="137"/>
    </row>
    <row r="2" spans="1:14" x14ac:dyDescent="0.25">
      <c r="A2" s="70" t="s">
        <v>349</v>
      </c>
      <c r="B2" s="299">
        <f>'[1]Slide 20a'!B2</f>
        <v>45601</v>
      </c>
      <c r="C2" s="68" t="s">
        <v>81</v>
      </c>
    </row>
    <row r="3" spans="1:14" x14ac:dyDescent="0.25">
      <c r="A3" s="80"/>
      <c r="B3" s="138"/>
      <c r="I3" s="69" t="s">
        <v>324</v>
      </c>
      <c r="J3" s="69" t="s">
        <v>169</v>
      </c>
      <c r="K3" s="69" t="s">
        <v>146</v>
      </c>
    </row>
    <row r="4" spans="1:14" x14ac:dyDescent="0.25">
      <c r="A4" s="80" t="s">
        <v>350</v>
      </c>
      <c r="B4" s="290">
        <f>EDATE(B2,6)</f>
        <v>45782</v>
      </c>
      <c r="C4" s="68" t="s">
        <v>351</v>
      </c>
      <c r="I4" s="70"/>
      <c r="J4" s="12"/>
      <c r="K4" s="291"/>
    </row>
    <row r="5" spans="1:14" x14ac:dyDescent="0.25">
      <c r="A5" s="80"/>
      <c r="B5" s="290"/>
      <c r="I5" s="80">
        <v>0</v>
      </c>
      <c r="J5" s="2">
        <v>-99</v>
      </c>
      <c r="K5" s="292">
        <f>J5</f>
        <v>-99</v>
      </c>
    </row>
    <row r="6" spans="1:14" x14ac:dyDescent="0.25">
      <c r="A6" s="80">
        <v>0</v>
      </c>
      <c r="B6" s="290">
        <v>45905</v>
      </c>
      <c r="C6" s="68" t="s">
        <v>352</v>
      </c>
      <c r="I6" s="80">
        <v>1</v>
      </c>
      <c r="J6" s="2">
        <f>J1*0.5*100</f>
        <v>5</v>
      </c>
      <c r="K6" s="292">
        <f>J6/((1+$K$12/2)^I6)</f>
        <v>4.7513837172639706</v>
      </c>
    </row>
    <row r="7" spans="1:14" x14ac:dyDescent="0.25">
      <c r="A7" s="80"/>
      <c r="B7" s="138"/>
      <c r="I7" s="80">
        <f t="shared" ref="I7:I10" si="0">I6+1</f>
        <v>2</v>
      </c>
      <c r="J7" s="2">
        <f>J6</f>
        <v>5</v>
      </c>
      <c r="K7" s="292">
        <f>J7/((1+$K$12/2)^I7)</f>
        <v>4.5151294457362381</v>
      </c>
    </row>
    <row r="8" spans="1:14" x14ac:dyDescent="0.25">
      <c r="A8" s="80" t="s">
        <v>353</v>
      </c>
      <c r="B8" s="290">
        <f>EDATE(B4,6)</f>
        <v>45966</v>
      </c>
      <c r="C8" s="68" t="s">
        <v>354</v>
      </c>
      <c r="I8" s="80">
        <f t="shared" si="0"/>
        <v>3</v>
      </c>
      <c r="J8" s="2">
        <f>J7</f>
        <v>5</v>
      </c>
      <c r="K8" s="292">
        <f>J8/((1+$K$12/2)^I8)</f>
        <v>4.2906225059620526</v>
      </c>
    </row>
    <row r="9" spans="1:14" x14ac:dyDescent="0.25">
      <c r="A9" s="80"/>
      <c r="B9" s="138"/>
      <c r="I9" s="80">
        <f t="shared" si="0"/>
        <v>4</v>
      </c>
      <c r="J9" s="2">
        <f>J8</f>
        <v>5</v>
      </c>
      <c r="K9" s="292">
        <f>J9/((1+$K$12/2)^I9)</f>
        <v>4.077278782350886</v>
      </c>
    </row>
    <row r="10" spans="1:14" x14ac:dyDescent="0.25">
      <c r="A10" s="80"/>
      <c r="B10" s="138"/>
      <c r="I10" s="83">
        <f t="shared" si="0"/>
        <v>5</v>
      </c>
      <c r="J10" s="2">
        <f>J9+100</f>
        <v>105</v>
      </c>
      <c r="K10" s="293">
        <f>J10/((1+$K$12/2)^I10)</f>
        <v>81.36540727227306</v>
      </c>
    </row>
    <row r="11" spans="1:14" x14ac:dyDescent="0.25">
      <c r="A11" s="80"/>
      <c r="B11" s="138"/>
      <c r="J11" s="77" t="s">
        <v>329</v>
      </c>
      <c r="K11" s="153">
        <f>SUM(K4:K10)</f>
        <v>-1.7827641379142278E-4</v>
      </c>
    </row>
    <row r="12" spans="1:14" x14ac:dyDescent="0.25">
      <c r="A12" s="80" t="s">
        <v>355</v>
      </c>
      <c r="B12" s="290">
        <f>EDATE(B8,6)</f>
        <v>46147</v>
      </c>
      <c r="C12" s="68" t="s">
        <v>356</v>
      </c>
      <c r="J12" s="69" t="s">
        <v>331</v>
      </c>
      <c r="K12" s="18">
        <v>0.10465005460733114</v>
      </c>
      <c r="M12" s="87"/>
    </row>
    <row r="13" spans="1:14" x14ac:dyDescent="0.25">
      <c r="A13" s="80"/>
      <c r="B13" s="138"/>
      <c r="J13" s="77" t="s">
        <v>333</v>
      </c>
      <c r="K13" s="18">
        <f>YIELD(B6,B24,J1,-J5,100,2,0)</f>
        <v>0.10513001953726075</v>
      </c>
    </row>
    <row r="14" spans="1:14" x14ac:dyDescent="0.25">
      <c r="A14" s="80"/>
      <c r="B14" s="138"/>
    </row>
    <row r="15" spans="1:14" x14ac:dyDescent="0.25">
      <c r="A15" s="80"/>
      <c r="B15" s="138"/>
      <c r="J15" s="265" t="s">
        <v>357</v>
      </c>
    </row>
    <row r="16" spans="1:14" x14ac:dyDescent="0.25">
      <c r="A16" s="80" t="s">
        <v>358</v>
      </c>
      <c r="B16" s="290">
        <f>EDATE(B12,6)</f>
        <v>46331</v>
      </c>
      <c r="C16" s="68" t="s">
        <v>359</v>
      </c>
      <c r="J16" s="265" t="s">
        <v>360</v>
      </c>
      <c r="K16" s="265">
        <f>(K13-K12)*10000</f>
        <v>4.7996492992961883</v>
      </c>
      <c r="L16" s="265" t="s">
        <v>361</v>
      </c>
      <c r="M16" s="300"/>
      <c r="N16" s="300"/>
    </row>
    <row r="17" spans="1:14" x14ac:dyDescent="0.25">
      <c r="A17" s="80"/>
      <c r="B17" s="138"/>
      <c r="J17" s="265" t="s">
        <v>362</v>
      </c>
      <c r="K17" s="265"/>
      <c r="L17" s="265"/>
    </row>
    <row r="18" spans="1:14" x14ac:dyDescent="0.25">
      <c r="A18" s="80"/>
      <c r="B18" s="138"/>
      <c r="J18" s="301"/>
      <c r="K18" s="302"/>
      <c r="L18" s="301"/>
      <c r="M18" s="301"/>
      <c r="N18" s="302"/>
    </row>
    <row r="19" spans="1:14" x14ac:dyDescent="0.25">
      <c r="A19" s="80"/>
      <c r="B19" s="138"/>
      <c r="J19" s="301"/>
      <c r="K19" s="301"/>
      <c r="L19" s="42"/>
      <c r="M19" s="42"/>
      <c r="N19" s="42"/>
    </row>
    <row r="20" spans="1:14" x14ac:dyDescent="0.25">
      <c r="A20" s="80" t="s">
        <v>363</v>
      </c>
      <c r="B20" s="290">
        <f>EDATE(B16,6)</f>
        <v>46512</v>
      </c>
      <c r="C20" s="68" t="s">
        <v>364</v>
      </c>
    </row>
    <row r="21" spans="1:14" x14ac:dyDescent="0.25">
      <c r="A21" s="80"/>
      <c r="B21" s="138"/>
    </row>
    <row r="22" spans="1:14" x14ac:dyDescent="0.25">
      <c r="A22" s="80"/>
      <c r="B22" s="138"/>
    </row>
    <row r="23" spans="1:14" x14ac:dyDescent="0.25">
      <c r="A23" s="80"/>
      <c r="B23" s="138"/>
    </row>
    <row r="24" spans="1:14" x14ac:dyDescent="0.25">
      <c r="A24" s="83" t="s">
        <v>365</v>
      </c>
      <c r="B24" s="294">
        <f>EDATE(B20,6)</f>
        <v>46696</v>
      </c>
      <c r="C24" s="68" t="s">
        <v>366</v>
      </c>
    </row>
    <row r="25" spans="1:14" x14ac:dyDescent="0.25">
      <c r="A25" s="137"/>
    </row>
    <row r="26" spans="1:14" x14ac:dyDescent="0.25">
      <c r="A26" s="295" t="s">
        <v>336</v>
      </c>
      <c r="B26" s="295"/>
      <c r="C26" s="295"/>
      <c r="D26" s="295"/>
      <c r="E26" s="295"/>
      <c r="F26" s="86"/>
    </row>
    <row r="27" spans="1:14" x14ac:dyDescent="0.25">
      <c r="A27" s="295" t="s">
        <v>367</v>
      </c>
      <c r="B27" s="86"/>
      <c r="C27" s="86"/>
      <c r="D27" s="86"/>
      <c r="E27" s="86"/>
    </row>
    <row r="28" spans="1:14" x14ac:dyDescent="0.25">
      <c r="A28" s="295" t="s">
        <v>368</v>
      </c>
      <c r="B28" s="86"/>
      <c r="C28" s="86"/>
      <c r="D28" s="86"/>
      <c r="E28" s="86"/>
    </row>
    <row r="29" spans="1:14" x14ac:dyDescent="0.25">
      <c r="A29" s="295" t="s">
        <v>369</v>
      </c>
      <c r="B29" s="86"/>
      <c r="C29" s="86"/>
      <c r="D29" s="86"/>
      <c r="E29" s="86"/>
    </row>
  </sheetData>
  <pageMargins left="0.75" right="0.75" top="1" bottom="1" header="0.5" footer="0.5"/>
  <pageSetup orientation="portrait"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77AA-A258-4585-80DA-DBD58BED7409}">
  <dimension ref="A1:Q32"/>
  <sheetViews>
    <sheetView topLeftCell="A10" zoomScale="99" zoomScaleNormal="99" workbookViewId="0">
      <selection activeCell="I28" sqref="I28"/>
    </sheetView>
  </sheetViews>
  <sheetFormatPr baseColWidth="10" defaultColWidth="9.21875" defaultRowHeight="13.2" x14ac:dyDescent="0.25"/>
  <cols>
    <col min="1" max="1" width="15.109375" style="68" customWidth="1"/>
    <col min="2" max="2" width="9.77734375" style="68" bestFit="1" customWidth="1"/>
    <col min="3" max="8" width="9.21875" style="68"/>
    <col min="9" max="9" width="11.77734375" style="68" bestFit="1" customWidth="1"/>
    <col min="10" max="10" width="22.77734375" style="68" customWidth="1"/>
    <col min="11" max="11" width="12.21875" style="68" bestFit="1" customWidth="1"/>
    <col min="12" max="12" width="9.21875" style="68"/>
    <col min="13" max="13" width="12.21875" style="68" bestFit="1" customWidth="1"/>
    <col min="14" max="16384" width="9.21875" style="68"/>
  </cols>
  <sheetData>
    <row r="1" spans="1:14" x14ac:dyDescent="0.25">
      <c r="A1" s="69" t="s">
        <v>71</v>
      </c>
      <c r="B1" s="69" t="s">
        <v>6</v>
      </c>
      <c r="I1" s="69" t="s">
        <v>43</v>
      </c>
      <c r="J1" s="18">
        <f>'[1]Slide 20b'!J1</f>
        <v>0.1</v>
      </c>
      <c r="K1" s="137"/>
    </row>
    <row r="2" spans="1:14" x14ac:dyDescent="0.25">
      <c r="A2" s="70" t="s">
        <v>349</v>
      </c>
      <c r="B2" s="299">
        <f>'[1]Slide 20a'!B2</f>
        <v>45601</v>
      </c>
      <c r="C2" s="68" t="s">
        <v>81</v>
      </c>
    </row>
    <row r="3" spans="1:14" x14ac:dyDescent="0.25">
      <c r="A3" s="80"/>
      <c r="B3" s="138"/>
      <c r="I3" s="69" t="s">
        <v>324</v>
      </c>
      <c r="J3" s="69" t="s">
        <v>169</v>
      </c>
      <c r="K3" s="69" t="s">
        <v>146</v>
      </c>
    </row>
    <row r="4" spans="1:14" x14ac:dyDescent="0.25">
      <c r="A4" s="80" t="s">
        <v>350</v>
      </c>
      <c r="B4" s="290">
        <f>EDATE(B2,6)</f>
        <v>45782</v>
      </c>
      <c r="C4" s="68" t="s">
        <v>351</v>
      </c>
      <c r="I4" s="70"/>
      <c r="J4" s="12"/>
      <c r="K4" s="291"/>
    </row>
    <row r="5" spans="1:14" x14ac:dyDescent="0.25">
      <c r="A5" s="80"/>
      <c r="B5" s="290"/>
      <c r="I5" s="80">
        <v>0</v>
      </c>
      <c r="J5" s="2">
        <v>-99</v>
      </c>
      <c r="K5" s="292">
        <f>J5</f>
        <v>-99</v>
      </c>
    </row>
    <row r="6" spans="1:14" x14ac:dyDescent="0.25">
      <c r="A6" s="80">
        <v>0</v>
      </c>
      <c r="B6" s="290">
        <v>45905</v>
      </c>
      <c r="C6" s="68" t="s">
        <v>352</v>
      </c>
      <c r="I6" s="80">
        <v>1</v>
      </c>
      <c r="J6" s="2">
        <f>J1*0.5*100</f>
        <v>5</v>
      </c>
      <c r="K6" s="292">
        <f>J6/((1+$K$12/2)^I6)</f>
        <v>4.7513837172639706</v>
      </c>
    </row>
    <row r="7" spans="1:14" x14ac:dyDescent="0.25">
      <c r="A7" s="80"/>
      <c r="B7" s="138"/>
      <c r="I7" s="80">
        <f t="shared" ref="I7:I10" si="0">I6+1</f>
        <v>2</v>
      </c>
      <c r="J7" s="2">
        <f>J6</f>
        <v>5</v>
      </c>
      <c r="K7" s="292">
        <f>J7/((1+$K$12/2)^I7)</f>
        <v>4.5151294457362381</v>
      </c>
    </row>
    <row r="8" spans="1:14" x14ac:dyDescent="0.25">
      <c r="A8" s="80" t="s">
        <v>353</v>
      </c>
      <c r="B8" s="290">
        <f>EDATE(B4,6)</f>
        <v>45966</v>
      </c>
      <c r="C8" s="68" t="s">
        <v>354</v>
      </c>
      <c r="I8" s="80">
        <f t="shared" si="0"/>
        <v>3</v>
      </c>
      <c r="J8" s="2">
        <f>J7</f>
        <v>5</v>
      </c>
      <c r="K8" s="292">
        <f>J8/((1+$K$12/2)^I8)</f>
        <v>4.2906225059620526</v>
      </c>
    </row>
    <row r="9" spans="1:14" x14ac:dyDescent="0.25">
      <c r="A9" s="80"/>
      <c r="B9" s="138"/>
      <c r="I9" s="80">
        <f t="shared" si="0"/>
        <v>4</v>
      </c>
      <c r="J9" s="2">
        <f>J8</f>
        <v>5</v>
      </c>
      <c r="K9" s="292">
        <f>J9/((1+$K$12/2)^I9)</f>
        <v>4.077278782350886</v>
      </c>
    </row>
    <row r="10" spans="1:14" x14ac:dyDescent="0.25">
      <c r="A10" s="80"/>
      <c r="B10" s="138"/>
      <c r="I10" s="83">
        <f t="shared" si="0"/>
        <v>5</v>
      </c>
      <c r="J10" s="2">
        <f>J9+100</f>
        <v>105</v>
      </c>
      <c r="K10" s="293">
        <f>J10/((1+$K$12/2)^I10)</f>
        <v>81.36540727227306</v>
      </c>
    </row>
    <row r="11" spans="1:14" x14ac:dyDescent="0.25">
      <c r="A11" s="80"/>
      <c r="B11" s="138"/>
      <c r="J11" s="77" t="s">
        <v>329</v>
      </c>
      <c r="K11" s="153">
        <f>SUM(K4:K10)</f>
        <v>-1.7827641379142278E-4</v>
      </c>
    </row>
    <row r="12" spans="1:14" x14ac:dyDescent="0.25">
      <c r="A12" s="80" t="s">
        <v>355</v>
      </c>
      <c r="B12" s="290">
        <f>EDATE(B8,6)</f>
        <v>46147</v>
      </c>
      <c r="C12" s="68" t="s">
        <v>356</v>
      </c>
      <c r="J12" s="69" t="s">
        <v>331</v>
      </c>
      <c r="K12" s="18">
        <v>0.10465005460733114</v>
      </c>
      <c r="M12" s="87"/>
    </row>
    <row r="13" spans="1:14" x14ac:dyDescent="0.25">
      <c r="A13" s="80"/>
      <c r="B13" s="138"/>
      <c r="J13" s="77" t="s">
        <v>333</v>
      </c>
      <c r="K13" s="18">
        <f>YIELD(B6,B24,J1,-J5,100,2,0)</f>
        <v>0.10513001953726075</v>
      </c>
    </row>
    <row r="14" spans="1:14" x14ac:dyDescent="0.25">
      <c r="A14" s="80"/>
      <c r="B14" s="138"/>
    </row>
    <row r="15" spans="1:14" x14ac:dyDescent="0.25">
      <c r="A15" s="80"/>
      <c r="B15" s="138"/>
      <c r="J15" s="265" t="s">
        <v>357</v>
      </c>
    </row>
    <row r="16" spans="1:14" x14ac:dyDescent="0.25">
      <c r="A16" s="80" t="s">
        <v>358</v>
      </c>
      <c r="B16" s="290">
        <f>EDATE(B12,6)</f>
        <v>46331</v>
      </c>
      <c r="C16" s="68" t="s">
        <v>359</v>
      </c>
      <c r="J16" s="265" t="s">
        <v>360</v>
      </c>
      <c r="K16" s="265">
        <f>(K13-K12)*10000</f>
        <v>4.7996492992961883</v>
      </c>
      <c r="L16" s="265" t="s">
        <v>361</v>
      </c>
      <c r="M16" s="300"/>
      <c r="N16" s="300"/>
    </row>
    <row r="17" spans="1:17" x14ac:dyDescent="0.25">
      <c r="A17" s="80"/>
      <c r="B17" s="138"/>
      <c r="J17" s="265" t="s">
        <v>362</v>
      </c>
      <c r="K17" s="265"/>
      <c r="L17" s="265"/>
    </row>
    <row r="18" spans="1:17" x14ac:dyDescent="0.25">
      <c r="A18" s="80"/>
      <c r="B18" s="138"/>
    </row>
    <row r="19" spans="1:17" x14ac:dyDescent="0.25">
      <c r="A19" s="80"/>
      <c r="B19" s="138"/>
      <c r="J19" s="575" t="s">
        <v>619</v>
      </c>
      <c r="K19" s="576"/>
      <c r="L19" s="576"/>
      <c r="M19" s="576"/>
      <c r="N19" s="576"/>
      <c r="O19" s="576"/>
      <c r="P19" s="576"/>
      <c r="Q19" s="576"/>
    </row>
    <row r="20" spans="1:17" x14ac:dyDescent="0.25">
      <c r="A20" s="80" t="s">
        <v>363</v>
      </c>
      <c r="B20" s="290">
        <f>EDATE(B16,6)</f>
        <v>46512</v>
      </c>
      <c r="C20" s="68" t="s">
        <v>364</v>
      </c>
      <c r="J20" s="576" t="s">
        <v>620</v>
      </c>
      <c r="K20" s="577">
        <f>0.0005*1000000</f>
        <v>500</v>
      </c>
      <c r="L20" s="576"/>
      <c r="M20" s="576"/>
      <c r="N20" s="576"/>
      <c r="O20" s="576"/>
      <c r="P20" s="576"/>
      <c r="Q20" s="576"/>
    </row>
    <row r="21" spans="1:17" x14ac:dyDescent="0.25">
      <c r="A21" s="80"/>
      <c r="B21" s="138"/>
      <c r="J21" s="576" t="s">
        <v>621</v>
      </c>
      <c r="K21" s="578">
        <f>K20*100</f>
        <v>50000</v>
      </c>
      <c r="L21" s="576"/>
      <c r="M21" s="576"/>
      <c r="N21" s="576"/>
      <c r="O21" s="576"/>
      <c r="P21" s="576"/>
      <c r="Q21" s="576"/>
    </row>
    <row r="22" spans="1:17" x14ac:dyDescent="0.25">
      <c r="A22" s="80"/>
      <c r="B22" s="138"/>
      <c r="J22" s="576" t="s">
        <v>622</v>
      </c>
      <c r="K22" s="578"/>
      <c r="L22" s="576"/>
      <c r="M22" s="576"/>
      <c r="N22" s="576"/>
      <c r="O22" s="576"/>
      <c r="P22" s="576"/>
      <c r="Q22" s="576"/>
    </row>
    <row r="23" spans="1:17" x14ac:dyDescent="0.25">
      <c r="A23" s="80"/>
      <c r="B23" s="138"/>
      <c r="J23" s="576"/>
      <c r="K23" s="576"/>
      <c r="L23" s="576"/>
      <c r="M23" s="576"/>
      <c r="N23" s="576"/>
      <c r="O23" s="576"/>
      <c r="P23" s="576"/>
      <c r="Q23" s="576"/>
    </row>
    <row r="24" spans="1:17" x14ac:dyDescent="0.25">
      <c r="A24" s="83" t="s">
        <v>365</v>
      </c>
      <c r="B24" s="294">
        <f>EDATE(B20,6)</f>
        <v>46696</v>
      </c>
      <c r="C24" s="68" t="s">
        <v>366</v>
      </c>
      <c r="J24" s="576" t="s">
        <v>623</v>
      </c>
      <c r="K24" s="576"/>
      <c r="L24" s="576"/>
      <c r="M24" s="576"/>
      <c r="N24" s="576"/>
      <c r="O24" s="576"/>
      <c r="P24" s="576"/>
      <c r="Q24" s="576"/>
    </row>
    <row r="25" spans="1:17" x14ac:dyDescent="0.25">
      <c r="A25" s="137"/>
      <c r="J25" s="576" t="s">
        <v>624</v>
      </c>
      <c r="K25" s="576"/>
      <c r="L25" s="576"/>
      <c r="M25" s="576"/>
      <c r="N25" s="576"/>
      <c r="O25" s="576"/>
      <c r="P25" s="576"/>
      <c r="Q25" s="576"/>
    </row>
    <row r="26" spans="1:17" x14ac:dyDescent="0.25">
      <c r="A26" s="295" t="s">
        <v>336</v>
      </c>
      <c r="B26" s="295"/>
      <c r="C26" s="295"/>
      <c r="D26" s="295"/>
      <c r="E26" s="295"/>
      <c r="F26" s="86"/>
      <c r="J26" s="576" t="s">
        <v>625</v>
      </c>
      <c r="K26" s="576"/>
      <c r="L26" s="576"/>
      <c r="M26" s="576"/>
      <c r="N26" s="576"/>
      <c r="O26" s="576"/>
      <c r="P26" s="576"/>
      <c r="Q26" s="576"/>
    </row>
    <row r="27" spans="1:17" x14ac:dyDescent="0.25">
      <c r="A27" s="295" t="s">
        <v>367</v>
      </c>
      <c r="B27" s="86"/>
      <c r="C27" s="86"/>
      <c r="D27" s="86"/>
      <c r="E27" s="86"/>
      <c r="J27" s="576"/>
      <c r="K27" s="576"/>
      <c r="L27" s="576"/>
      <c r="M27" s="576"/>
      <c r="N27" s="576"/>
      <c r="O27" s="576"/>
      <c r="P27" s="576"/>
      <c r="Q27" s="576"/>
    </row>
    <row r="28" spans="1:17" x14ac:dyDescent="0.25">
      <c r="A28" s="295" t="s">
        <v>368</v>
      </c>
      <c r="B28" s="86"/>
      <c r="C28" s="86"/>
      <c r="D28" s="86"/>
      <c r="E28" s="86"/>
      <c r="J28" s="576" t="s">
        <v>626</v>
      </c>
      <c r="K28" s="576"/>
      <c r="L28" s="576"/>
      <c r="M28" s="577">
        <f>0.0005*4.3*100000000</f>
        <v>215000</v>
      </c>
      <c r="N28" s="576"/>
      <c r="O28" s="576"/>
      <c r="P28" s="576"/>
      <c r="Q28" s="576"/>
    </row>
    <row r="29" spans="1:17" x14ac:dyDescent="0.25">
      <c r="A29" s="295" t="s">
        <v>369</v>
      </c>
      <c r="B29" s="86"/>
      <c r="C29" s="86"/>
      <c r="D29" s="86"/>
      <c r="E29" s="86"/>
      <c r="J29" s="576" t="s">
        <v>627</v>
      </c>
      <c r="K29" s="576"/>
      <c r="L29" s="576"/>
      <c r="M29" s="577">
        <f>0.0005*17*100000000</f>
        <v>850000.00000000012</v>
      </c>
      <c r="N29" s="576"/>
      <c r="O29" s="576"/>
      <c r="P29" s="576"/>
      <c r="Q29" s="576"/>
    </row>
    <row r="31" spans="1:17" x14ac:dyDescent="0.25">
      <c r="J31" s="301"/>
      <c r="K31" s="302"/>
      <c r="L31" s="301"/>
      <c r="M31" s="301"/>
      <c r="N31" s="302"/>
    </row>
    <row r="32" spans="1:17" x14ac:dyDescent="0.25">
      <c r="J32" s="579" t="s">
        <v>628</v>
      </c>
      <c r="K32" s="579"/>
      <c r="L32" s="42"/>
      <c r="M32" s="42"/>
      <c r="N32" s="42"/>
    </row>
  </sheetData>
  <pageMargins left="0.75" right="0.75" top="1" bottom="1" header="0.5" footer="0.5"/>
  <pageSetup orientation="portrait" r:id="rId1"/>
  <headerFooter alignWithMargins="0"/>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1904-538E-4DD1-80CD-CEADFED1DCE1}">
  <dimension ref="A1:Q29"/>
  <sheetViews>
    <sheetView zoomScale="99" zoomScaleNormal="99" workbookViewId="0">
      <selection activeCell="Q1" sqref="Q1"/>
    </sheetView>
  </sheetViews>
  <sheetFormatPr baseColWidth="10" defaultColWidth="9.21875" defaultRowHeight="13.2" x14ac:dyDescent="0.25"/>
  <cols>
    <col min="1" max="1" width="15.44140625" style="68" customWidth="1"/>
    <col min="2" max="2" width="9.77734375" style="68" bestFit="1" customWidth="1"/>
    <col min="3" max="8" width="9.21875" style="68"/>
    <col min="9" max="9" width="11.77734375" style="68" bestFit="1" customWidth="1"/>
    <col min="10" max="10" width="21.109375" style="68" customWidth="1"/>
    <col min="11" max="12" width="9.21875" style="68"/>
    <col min="13" max="13" width="10" style="68" bestFit="1" customWidth="1"/>
    <col min="14" max="15" width="9.21875" style="68"/>
    <col min="16" max="16" width="19.21875" style="68" bestFit="1" customWidth="1"/>
    <col min="17" max="16384" width="9.21875" style="68"/>
  </cols>
  <sheetData>
    <row r="1" spans="1:17" x14ac:dyDescent="0.25">
      <c r="A1" s="69" t="s">
        <v>71</v>
      </c>
      <c r="B1" s="69" t="s">
        <v>6</v>
      </c>
      <c r="I1" s="69" t="s">
        <v>43</v>
      </c>
      <c r="J1" s="18">
        <f>'[1]Slide 20b'!J1</f>
        <v>0.1</v>
      </c>
      <c r="K1" s="137"/>
      <c r="P1" s="77" t="s">
        <v>629</v>
      </c>
      <c r="Q1" s="210">
        <f>4/6</f>
        <v>0.66666666666666663</v>
      </c>
    </row>
    <row r="2" spans="1:17" x14ac:dyDescent="0.25">
      <c r="A2" s="70" t="s">
        <v>349</v>
      </c>
      <c r="B2" s="299">
        <f>'[1]Slide 20a'!B2</f>
        <v>45601</v>
      </c>
      <c r="C2" s="68" t="s">
        <v>81</v>
      </c>
      <c r="P2" s="77" t="s">
        <v>630</v>
      </c>
      <c r="Q2" s="303">
        <f>J6*Q1</f>
        <v>3.333333333333333</v>
      </c>
    </row>
    <row r="3" spans="1:17" x14ac:dyDescent="0.25">
      <c r="A3" s="80"/>
      <c r="B3" s="138"/>
      <c r="I3" s="69" t="s">
        <v>324</v>
      </c>
      <c r="J3" s="69" t="s">
        <v>169</v>
      </c>
      <c r="K3" s="69" t="s">
        <v>146</v>
      </c>
      <c r="P3" s="77" t="s">
        <v>631</v>
      </c>
      <c r="Q3" s="304">
        <f>(2/6)</f>
        <v>0.33333333333333331</v>
      </c>
    </row>
    <row r="4" spans="1:17" x14ac:dyDescent="0.25">
      <c r="A4" s="80" t="s">
        <v>350</v>
      </c>
      <c r="B4" s="290">
        <f>EDATE(B2,6)</f>
        <v>45782</v>
      </c>
      <c r="C4" s="68" t="s">
        <v>351</v>
      </c>
      <c r="I4" s="70"/>
      <c r="J4" s="12"/>
      <c r="K4" s="291"/>
    </row>
    <row r="5" spans="1:17" x14ac:dyDescent="0.25">
      <c r="A5" s="80"/>
      <c r="B5" s="290"/>
      <c r="I5" s="80">
        <v>0</v>
      </c>
      <c r="J5" s="8">
        <f>-99-Q2</f>
        <v>-102.33333333333333</v>
      </c>
      <c r="K5" s="292">
        <f>J5</f>
        <v>-102.33333333333333</v>
      </c>
    </row>
    <row r="6" spans="1:17" x14ac:dyDescent="0.25">
      <c r="A6" s="80">
        <v>0</v>
      </c>
      <c r="B6" s="290">
        <v>45905</v>
      </c>
      <c r="C6" s="68" t="s">
        <v>352</v>
      </c>
      <c r="I6" s="80">
        <v>1</v>
      </c>
      <c r="J6" s="2">
        <f>J1*0.5*100</f>
        <v>5</v>
      </c>
      <c r="K6" s="580">
        <f>J6/((1+$K$12/2)^Q3)</f>
        <v>4.9153414944096543</v>
      </c>
    </row>
    <row r="7" spans="1:17" x14ac:dyDescent="0.25">
      <c r="A7" s="80"/>
      <c r="B7" s="138"/>
      <c r="I7" s="80">
        <f t="shared" ref="I7:I10" si="0">I6+1</f>
        <v>2</v>
      </c>
      <c r="J7" s="2">
        <f>J6</f>
        <v>5</v>
      </c>
      <c r="K7" s="292">
        <f>J7/((1+$K$12/2)^(I6+$Q$3))</f>
        <v>4.6698697832064067</v>
      </c>
    </row>
    <row r="8" spans="1:17" x14ac:dyDescent="0.25">
      <c r="A8" s="80" t="s">
        <v>353</v>
      </c>
      <c r="B8" s="290">
        <f>EDATE(B4,6)</f>
        <v>45966</v>
      </c>
      <c r="C8" s="68" t="s">
        <v>354</v>
      </c>
      <c r="I8" s="80">
        <f t="shared" si="0"/>
        <v>3</v>
      </c>
      <c r="J8" s="2">
        <f>J7</f>
        <v>5</v>
      </c>
      <c r="K8" s="292">
        <f t="shared" ref="K8:K10" si="1">J8/((1+$K$12/2)^(I7+$Q$3))</f>
        <v>4.4366569071358928</v>
      </c>
    </row>
    <row r="9" spans="1:17" x14ac:dyDescent="0.25">
      <c r="A9" s="80"/>
      <c r="B9" s="138"/>
      <c r="I9" s="80">
        <f t="shared" si="0"/>
        <v>4</v>
      </c>
      <c r="J9" s="2">
        <f>J8</f>
        <v>5</v>
      </c>
      <c r="K9" s="292">
        <f t="shared" si="1"/>
        <v>4.2150906610764904</v>
      </c>
    </row>
    <row r="10" spans="1:17" x14ac:dyDescent="0.25">
      <c r="A10" s="80"/>
      <c r="B10" s="138"/>
      <c r="I10" s="83">
        <f t="shared" si="0"/>
        <v>5</v>
      </c>
      <c r="J10" s="2">
        <f>J9+100</f>
        <v>105</v>
      </c>
      <c r="K10" s="292">
        <f t="shared" si="1"/>
        <v>84.096377680878717</v>
      </c>
      <c r="M10" s="87"/>
    </row>
    <row r="11" spans="1:17" x14ac:dyDescent="0.25">
      <c r="A11" s="80"/>
      <c r="B11" s="138"/>
      <c r="I11" s="137"/>
      <c r="J11" s="77" t="s">
        <v>329</v>
      </c>
      <c r="K11" s="153">
        <f>SUM(K4:K10)</f>
        <v>3.1933738426914715E-6</v>
      </c>
    </row>
    <row r="12" spans="1:17" x14ac:dyDescent="0.25">
      <c r="A12" s="80" t="s">
        <v>355</v>
      </c>
      <c r="B12" s="290">
        <f>EDATE(B8,6)</f>
        <v>46147</v>
      </c>
      <c r="C12" s="68" t="s">
        <v>356</v>
      </c>
      <c r="J12" s="69" t="s">
        <v>331</v>
      </c>
      <c r="K12" s="581">
        <v>0.10513000259065185</v>
      </c>
    </row>
    <row r="13" spans="1:17" x14ac:dyDescent="0.25">
      <c r="A13" s="80"/>
      <c r="B13" s="138"/>
      <c r="J13" s="77" t="s">
        <v>333</v>
      </c>
      <c r="K13" s="18">
        <f>YIELD(B6,B24,J1,99,100,2,0)</f>
        <v>0.10513001953726075</v>
      </c>
    </row>
    <row r="14" spans="1:17" x14ac:dyDescent="0.25">
      <c r="A14" s="80"/>
      <c r="B14" s="138"/>
      <c r="K14" s="582"/>
      <c r="L14" s="305"/>
      <c r="M14" s="305"/>
      <c r="N14" s="305"/>
    </row>
    <row r="15" spans="1:17" x14ac:dyDescent="0.25">
      <c r="A15" s="80"/>
      <c r="B15" s="138"/>
      <c r="J15" s="265" t="s">
        <v>335</v>
      </c>
      <c r="K15" s="42"/>
      <c r="L15" s="42"/>
      <c r="M15" s="42"/>
      <c r="N15" s="42"/>
    </row>
    <row r="16" spans="1:17" x14ac:dyDescent="0.25">
      <c r="A16" s="80" t="s">
        <v>358</v>
      </c>
      <c r="B16" s="290">
        <f>EDATE(B12,6)</f>
        <v>46331</v>
      </c>
      <c r="C16" s="68" t="s">
        <v>359</v>
      </c>
    </row>
    <row r="17" spans="1:6" x14ac:dyDescent="0.25">
      <c r="A17" s="80"/>
      <c r="B17" s="138"/>
    </row>
    <row r="18" spans="1:6" x14ac:dyDescent="0.25">
      <c r="A18" s="80"/>
      <c r="B18" s="138"/>
    </row>
    <row r="19" spans="1:6" x14ac:dyDescent="0.25">
      <c r="A19" s="80"/>
      <c r="B19" s="138"/>
    </row>
    <row r="20" spans="1:6" x14ac:dyDescent="0.25">
      <c r="A20" s="80" t="s">
        <v>363</v>
      </c>
      <c r="B20" s="290">
        <f>EDATE(B16,6)</f>
        <v>46512</v>
      </c>
      <c r="C20" s="68" t="s">
        <v>364</v>
      </c>
    </row>
    <row r="21" spans="1:6" x14ac:dyDescent="0.25">
      <c r="A21" s="80"/>
      <c r="B21" s="138"/>
    </row>
    <row r="22" spans="1:6" x14ac:dyDescent="0.25">
      <c r="A22" s="80"/>
      <c r="B22" s="138"/>
    </row>
    <row r="23" spans="1:6" x14ac:dyDescent="0.25">
      <c r="A23" s="80"/>
      <c r="B23" s="138"/>
    </row>
    <row r="24" spans="1:6" x14ac:dyDescent="0.25">
      <c r="A24" s="83" t="s">
        <v>365</v>
      </c>
      <c r="B24" s="294">
        <f>EDATE(B20,6)</f>
        <v>46696</v>
      </c>
      <c r="C24" s="68" t="s">
        <v>366</v>
      </c>
    </row>
    <row r="25" spans="1:6" x14ac:dyDescent="0.25">
      <c r="A25" s="137"/>
    </row>
    <row r="26" spans="1:6" x14ac:dyDescent="0.25">
      <c r="A26" s="295" t="s">
        <v>336</v>
      </c>
      <c r="B26" s="295"/>
      <c r="C26" s="295"/>
      <c r="D26" s="295"/>
      <c r="E26" s="295"/>
      <c r="F26" s="86"/>
    </row>
    <row r="27" spans="1:6" x14ac:dyDescent="0.25">
      <c r="A27" s="295" t="s">
        <v>367</v>
      </c>
      <c r="B27" s="86"/>
      <c r="C27" s="86"/>
      <c r="D27" s="86"/>
      <c r="E27" s="86"/>
    </row>
    <row r="28" spans="1:6" x14ac:dyDescent="0.25">
      <c r="A28" s="295" t="s">
        <v>368</v>
      </c>
      <c r="B28" s="86"/>
      <c r="C28" s="86"/>
      <c r="D28" s="86"/>
      <c r="E28" s="86"/>
    </row>
    <row r="29" spans="1:6" x14ac:dyDescent="0.25">
      <c r="A29" s="295" t="s">
        <v>369</v>
      </c>
      <c r="B29" s="86"/>
      <c r="C29" s="86"/>
      <c r="D29" s="86"/>
      <c r="E29" s="86"/>
    </row>
  </sheetData>
  <pageMargins left="0.75" right="0.75" top="1" bottom="1" header="0.5" footer="0.5"/>
  <pageSetup orientation="portrait"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C8E9-48BF-4AB8-80FE-D43D5F78C87D}">
  <dimension ref="A1:G67"/>
  <sheetViews>
    <sheetView topLeftCell="A40" zoomScale="96" zoomScaleNormal="96" workbookViewId="0">
      <selection activeCell="D42" sqref="D42"/>
    </sheetView>
  </sheetViews>
  <sheetFormatPr baseColWidth="10" defaultColWidth="9.21875" defaultRowHeight="13.2" x14ac:dyDescent="0.25"/>
  <cols>
    <col min="1" max="1" width="19.5546875" style="68" bestFit="1" customWidth="1"/>
    <col min="2" max="2" width="20.44140625" style="68" customWidth="1"/>
    <col min="3" max="3" width="14.21875" style="68" bestFit="1" customWidth="1"/>
    <col min="4" max="4" width="17.77734375" style="68" bestFit="1" customWidth="1"/>
    <col min="5" max="5" width="19" style="68" bestFit="1" customWidth="1"/>
    <col min="6" max="6" width="13.21875" style="68" bestFit="1" customWidth="1"/>
    <col min="7" max="7" width="13.77734375" style="68" bestFit="1" customWidth="1"/>
    <col min="8" max="9" width="14.21875" style="68" bestFit="1" customWidth="1"/>
    <col min="10" max="16384" width="9.21875" style="68"/>
  </cols>
  <sheetData>
    <row r="1" spans="1:7" x14ac:dyDescent="0.25">
      <c r="A1" s="70" t="s">
        <v>137</v>
      </c>
      <c r="B1" s="79">
        <v>45457</v>
      </c>
      <c r="D1" s="583"/>
    </row>
    <row r="2" spans="1:7" x14ac:dyDescent="0.25">
      <c r="A2" s="80" t="s">
        <v>632</v>
      </c>
      <c r="B2" s="81">
        <v>46552</v>
      </c>
      <c r="G2" s="584"/>
    </row>
    <row r="3" spans="1:7" x14ac:dyDescent="0.25">
      <c r="A3" s="80" t="s">
        <v>138</v>
      </c>
      <c r="B3" s="585">
        <v>0.1</v>
      </c>
      <c r="C3" s="68" t="s">
        <v>633</v>
      </c>
    </row>
    <row r="4" spans="1:7" x14ac:dyDescent="0.25">
      <c r="A4" s="80" t="s">
        <v>634</v>
      </c>
      <c r="B4" s="82">
        <v>98.5</v>
      </c>
    </row>
    <row r="5" spans="1:7" x14ac:dyDescent="0.25">
      <c r="A5" s="83" t="s">
        <v>635</v>
      </c>
      <c r="B5" s="83" t="s">
        <v>636</v>
      </c>
    </row>
    <row r="6" spans="1:7" x14ac:dyDescent="0.25">
      <c r="A6" s="586" t="s">
        <v>637</v>
      </c>
      <c r="B6" s="587">
        <v>0.1059700242206605</v>
      </c>
      <c r="C6" s="84">
        <f>D61-G61</f>
        <v>-7.4365823216737681E-4</v>
      </c>
      <c r="D6" s="588"/>
      <c r="E6" s="42"/>
      <c r="F6" s="42"/>
    </row>
    <row r="8" spans="1:7" x14ac:dyDescent="0.25">
      <c r="A8" s="42" t="s">
        <v>638</v>
      </c>
      <c r="B8" s="42"/>
      <c r="C8" s="42"/>
      <c r="D8" s="42"/>
      <c r="E8" s="42"/>
      <c r="F8" s="42"/>
      <c r="G8" s="42"/>
    </row>
    <row r="9" spans="1:7" x14ac:dyDescent="0.25">
      <c r="A9" s="42"/>
      <c r="B9" s="42"/>
      <c r="C9" s="42"/>
      <c r="D9" s="42"/>
      <c r="E9" s="42"/>
      <c r="F9" s="42"/>
      <c r="G9" s="42"/>
    </row>
    <row r="10" spans="1:7" x14ac:dyDescent="0.25">
      <c r="A10" s="42"/>
      <c r="B10" s="589">
        <f>EDATE(B11,-6)</f>
        <v>45274</v>
      </c>
      <c r="C10" s="42"/>
      <c r="D10" s="42"/>
      <c r="E10" s="42"/>
      <c r="F10" s="42"/>
      <c r="G10" s="42"/>
    </row>
    <row r="11" spans="1:7" x14ac:dyDescent="0.25">
      <c r="A11" s="42"/>
      <c r="B11" s="590">
        <f>B1</f>
        <v>45457</v>
      </c>
      <c r="C11" s="42"/>
      <c r="D11" s="42"/>
      <c r="E11" s="42"/>
      <c r="F11" s="42"/>
      <c r="G11" s="42"/>
    </row>
    <row r="12" spans="1:7" x14ac:dyDescent="0.25">
      <c r="A12" s="42"/>
      <c r="B12" s="589">
        <f>EDATE(B11,6)</f>
        <v>45640</v>
      </c>
      <c r="C12" s="42"/>
      <c r="D12" s="42"/>
      <c r="E12" s="42"/>
      <c r="F12" s="42"/>
      <c r="G12" s="42"/>
    </row>
    <row r="13" spans="1:7" x14ac:dyDescent="0.25">
      <c r="A13" s="42"/>
      <c r="B13" s="42"/>
      <c r="C13" s="42"/>
      <c r="D13" s="42"/>
      <c r="E13" s="42"/>
      <c r="F13" s="42"/>
      <c r="G13" s="42"/>
    </row>
    <row r="14" spans="1:7" x14ac:dyDescent="0.25">
      <c r="A14" s="42" t="s">
        <v>639</v>
      </c>
      <c r="B14" s="42"/>
      <c r="C14" s="42"/>
      <c r="D14" s="42"/>
      <c r="E14" s="42"/>
      <c r="F14" s="42"/>
      <c r="G14" s="42"/>
    </row>
    <row r="15" spans="1:7" x14ac:dyDescent="0.25">
      <c r="A15" s="42"/>
      <c r="B15" s="42"/>
      <c r="C15" s="42"/>
      <c r="D15" s="42"/>
      <c r="E15" s="42"/>
      <c r="F15" s="42"/>
      <c r="G15" s="42"/>
    </row>
    <row r="16" spans="1:7" x14ac:dyDescent="0.25">
      <c r="A16" s="42"/>
      <c r="B16" s="42" t="s">
        <v>39</v>
      </c>
      <c r="C16" s="85">
        <v>0</v>
      </c>
      <c r="D16" s="42"/>
      <c r="E16" s="42"/>
      <c r="F16" s="42"/>
      <c r="G16" s="85"/>
    </row>
    <row r="17" spans="1:7" x14ac:dyDescent="0.25">
      <c r="A17" s="42"/>
      <c r="B17" s="42" t="s">
        <v>640</v>
      </c>
      <c r="C17" s="591">
        <f>C16+B4</f>
        <v>98.5</v>
      </c>
      <c r="D17" s="42"/>
      <c r="E17" s="42"/>
      <c r="F17" s="42"/>
      <c r="G17" s="42"/>
    </row>
    <row r="18" spans="1:7" x14ac:dyDescent="0.25">
      <c r="E18" s="87"/>
    </row>
    <row r="19" spans="1:7" x14ac:dyDescent="0.25">
      <c r="A19" s="68" t="s">
        <v>641</v>
      </c>
    </row>
    <row r="21" spans="1:7" x14ac:dyDescent="0.25">
      <c r="B21" s="590">
        <f>B11</f>
        <v>45457</v>
      </c>
    </row>
    <row r="22" spans="1:7" x14ac:dyDescent="0.25">
      <c r="B22" s="583">
        <f>B12</f>
        <v>45640</v>
      </c>
    </row>
    <row r="23" spans="1:7" x14ac:dyDescent="0.25">
      <c r="B23" s="583">
        <f>EDATE(B22,6)</f>
        <v>45822</v>
      </c>
    </row>
    <row r="24" spans="1:7" x14ac:dyDescent="0.25">
      <c r="B24" s="583">
        <f>EDATE(B23,6)</f>
        <v>46005</v>
      </c>
    </row>
    <row r="25" spans="1:7" x14ac:dyDescent="0.25">
      <c r="B25" s="583">
        <f>EDATE(B24,6)</f>
        <v>46187</v>
      </c>
    </row>
    <row r="26" spans="1:7" x14ac:dyDescent="0.25">
      <c r="B26" s="583">
        <f>EDATE(B25,6)</f>
        <v>46370</v>
      </c>
    </row>
    <row r="27" spans="1:7" x14ac:dyDescent="0.25">
      <c r="B27" s="583">
        <f>EDATE(B26,6)</f>
        <v>46552</v>
      </c>
    </row>
    <row r="28" spans="1:7" x14ac:dyDescent="0.25">
      <c r="B28" s="583"/>
    </row>
    <row r="29" spans="1:7" x14ac:dyDescent="0.25">
      <c r="A29" s="68" t="s">
        <v>642</v>
      </c>
      <c r="B29" s="583"/>
    </row>
    <row r="30" spans="1:7" x14ac:dyDescent="0.25">
      <c r="B30" s="583"/>
    </row>
    <row r="31" spans="1:7" x14ac:dyDescent="0.25">
      <c r="B31" s="590">
        <f t="shared" ref="B31:B37" si="0">B21</f>
        <v>45457</v>
      </c>
    </row>
    <row r="32" spans="1:7" x14ac:dyDescent="0.25">
      <c r="B32" s="583">
        <f t="shared" si="0"/>
        <v>45640</v>
      </c>
      <c r="C32" s="68">
        <f>$B$3*100/2</f>
        <v>5</v>
      </c>
    </row>
    <row r="33" spans="1:4" x14ac:dyDescent="0.25">
      <c r="B33" s="583">
        <f t="shared" si="0"/>
        <v>45822</v>
      </c>
      <c r="C33" s="68">
        <f>$B$3*100/2</f>
        <v>5</v>
      </c>
    </row>
    <row r="34" spans="1:4" x14ac:dyDescent="0.25">
      <c r="B34" s="583">
        <f t="shared" si="0"/>
        <v>46005</v>
      </c>
      <c r="C34" s="68">
        <f>$B$3*100/2</f>
        <v>5</v>
      </c>
    </row>
    <row r="35" spans="1:4" x14ac:dyDescent="0.25">
      <c r="B35" s="583">
        <f t="shared" si="0"/>
        <v>46187</v>
      </c>
      <c r="C35" s="68">
        <f>$B$3*100/2</f>
        <v>5</v>
      </c>
    </row>
    <row r="36" spans="1:4" x14ac:dyDescent="0.25">
      <c r="B36" s="583">
        <f t="shared" si="0"/>
        <v>46370</v>
      </c>
      <c r="C36" s="68">
        <f>$B$3*100/2</f>
        <v>5</v>
      </c>
    </row>
    <row r="37" spans="1:4" x14ac:dyDescent="0.25">
      <c r="B37" s="583">
        <f t="shared" si="0"/>
        <v>46552</v>
      </c>
      <c r="C37" s="68">
        <f>(1+(B3/2))*100</f>
        <v>105</v>
      </c>
    </row>
    <row r="38" spans="1:4" x14ac:dyDescent="0.25">
      <c r="B38" s="583"/>
    </row>
    <row r="39" spans="1:4" x14ac:dyDescent="0.25">
      <c r="A39" s="68" t="s">
        <v>643</v>
      </c>
    </row>
    <row r="41" spans="1:4" x14ac:dyDescent="0.25">
      <c r="B41" s="590">
        <f t="shared" ref="B41:C47" si="1">B31</f>
        <v>45457</v>
      </c>
    </row>
    <row r="42" spans="1:4" x14ac:dyDescent="0.25">
      <c r="B42" s="583">
        <f t="shared" si="1"/>
        <v>45640</v>
      </c>
      <c r="C42" s="68">
        <f t="shared" si="1"/>
        <v>5</v>
      </c>
      <c r="D42" s="68">
        <f>C42/((1+($B$6/2))^1)</f>
        <v>4.7484056681673898</v>
      </c>
    </row>
    <row r="43" spans="1:4" x14ac:dyDescent="0.25">
      <c r="B43" s="583">
        <f t="shared" si="1"/>
        <v>45822</v>
      </c>
      <c r="C43" s="68">
        <f t="shared" si="1"/>
        <v>5</v>
      </c>
      <c r="D43" s="68">
        <f>C43/((1+($B$6/2))^2)</f>
        <v>4.5094712778968384</v>
      </c>
    </row>
    <row r="44" spans="1:4" x14ac:dyDescent="0.25">
      <c r="B44" s="583">
        <f t="shared" si="1"/>
        <v>46005</v>
      </c>
      <c r="C44" s="68">
        <f t="shared" si="1"/>
        <v>5</v>
      </c>
      <c r="D44" s="68">
        <f>C44/((1+($B$6/2))^3)</f>
        <v>4.2825597952806786</v>
      </c>
    </row>
    <row r="45" spans="1:4" x14ac:dyDescent="0.25">
      <c r="B45" s="583">
        <f t="shared" si="1"/>
        <v>46187</v>
      </c>
      <c r="C45" s="68">
        <f t="shared" si="1"/>
        <v>5</v>
      </c>
      <c r="D45" s="68">
        <f>C45/((1+($B$6/2))^4)</f>
        <v>4.0670662412353087</v>
      </c>
    </row>
    <row r="46" spans="1:4" x14ac:dyDescent="0.25">
      <c r="B46" s="583">
        <f t="shared" si="1"/>
        <v>46370</v>
      </c>
      <c r="C46" s="68">
        <f t="shared" si="1"/>
        <v>5</v>
      </c>
      <c r="D46" s="68">
        <f>C46/((1+($B$6/2))^5)</f>
        <v>3.8624160785387964</v>
      </c>
    </row>
    <row r="47" spans="1:4" x14ac:dyDescent="0.25">
      <c r="B47" s="583">
        <f t="shared" si="1"/>
        <v>46552</v>
      </c>
      <c r="C47" s="68">
        <f t="shared" si="1"/>
        <v>105</v>
      </c>
      <c r="D47" s="88">
        <f>C47/((1+($B$6/2))^6)</f>
        <v>77.029337280648818</v>
      </c>
    </row>
    <row r="48" spans="1:4" x14ac:dyDescent="0.25">
      <c r="D48" s="592">
        <f>SUM(D42:D47)</f>
        <v>98.499256341767833</v>
      </c>
    </row>
    <row r="50" spans="1:7" x14ac:dyDescent="0.25">
      <c r="A50" s="68" t="s">
        <v>644</v>
      </c>
    </row>
    <row r="51" spans="1:7" x14ac:dyDescent="0.25">
      <c r="A51" s="68" t="s">
        <v>645</v>
      </c>
    </row>
    <row r="53" spans="1:7" x14ac:dyDescent="0.25">
      <c r="B53" s="583"/>
    </row>
    <row r="54" spans="1:7" x14ac:dyDescent="0.25">
      <c r="B54" s="590">
        <f t="shared" ref="B54:C60" si="2">B41</f>
        <v>45457</v>
      </c>
    </row>
    <row r="55" spans="1:7" x14ac:dyDescent="0.25">
      <c r="B55" s="583">
        <f t="shared" si="2"/>
        <v>45640</v>
      </c>
      <c r="C55" s="68">
        <f t="shared" si="2"/>
        <v>5</v>
      </c>
      <c r="D55" s="593">
        <f>C55/((1+($B$6/2))^1)</f>
        <v>4.7484056681673898</v>
      </c>
    </row>
    <row r="56" spans="1:7" x14ac:dyDescent="0.25">
      <c r="B56" s="583">
        <f t="shared" si="2"/>
        <v>45822</v>
      </c>
      <c r="C56" s="68">
        <f t="shared" si="2"/>
        <v>5</v>
      </c>
      <c r="D56" s="593">
        <f>C56/((1+($B$6/2))^(2))</f>
        <v>4.5094712778968384</v>
      </c>
    </row>
    <row r="57" spans="1:7" x14ac:dyDescent="0.25">
      <c r="B57" s="583">
        <f t="shared" si="2"/>
        <v>46005</v>
      </c>
      <c r="C57" s="68">
        <f t="shared" si="2"/>
        <v>5</v>
      </c>
      <c r="D57" s="593">
        <f>C57/((1+($B$6/2))^(3))</f>
        <v>4.2825597952806786</v>
      </c>
    </row>
    <row r="58" spans="1:7" x14ac:dyDescent="0.25">
      <c r="B58" s="583">
        <f t="shared" si="2"/>
        <v>46187</v>
      </c>
      <c r="C58" s="68">
        <f t="shared" si="2"/>
        <v>5</v>
      </c>
      <c r="D58" s="593">
        <f>C58/((1+($B$6/2))^(4))</f>
        <v>4.0670662412353087</v>
      </c>
    </row>
    <row r="59" spans="1:7" x14ac:dyDescent="0.25">
      <c r="B59" s="583">
        <f t="shared" si="2"/>
        <v>46370</v>
      </c>
      <c r="C59" s="68">
        <f t="shared" si="2"/>
        <v>5</v>
      </c>
      <c r="D59" s="593">
        <f>C59/((1+($B$6/2))^(5))</f>
        <v>3.8624160785387964</v>
      </c>
    </row>
    <row r="60" spans="1:7" x14ac:dyDescent="0.25">
      <c r="B60" s="583">
        <f t="shared" si="2"/>
        <v>46552</v>
      </c>
      <c r="C60" s="68">
        <f t="shared" si="2"/>
        <v>105</v>
      </c>
      <c r="D60" s="593">
        <f>C60/((1+($B$6/2))^(6))</f>
        <v>77.029337280648818</v>
      </c>
    </row>
    <row r="61" spans="1:7" x14ac:dyDescent="0.25">
      <c r="D61" s="592">
        <f>SUM(D55:D60)</f>
        <v>98.499256341767833</v>
      </c>
      <c r="E61" s="68" t="s">
        <v>646</v>
      </c>
      <c r="G61" s="594">
        <f>C17</f>
        <v>98.5</v>
      </c>
    </row>
    <row r="63" spans="1:7" x14ac:dyDescent="0.25">
      <c r="A63" s="68" t="s">
        <v>647</v>
      </c>
    </row>
    <row r="65" spans="1:5" x14ac:dyDescent="0.25">
      <c r="A65" s="86" t="s">
        <v>648</v>
      </c>
      <c r="B65" s="86"/>
      <c r="C65" s="595">
        <f>PRICE(B1,B2,B3,B6,100,2,1)</f>
        <v>98.499256341767833</v>
      </c>
      <c r="D65" s="86" t="s">
        <v>649</v>
      </c>
      <c r="E65" s="86"/>
    </row>
    <row r="66" spans="1:5" x14ac:dyDescent="0.25">
      <c r="A66" s="208" t="s">
        <v>650</v>
      </c>
      <c r="B66" s="208"/>
      <c r="C66" s="596">
        <f>YIELD(B1,B2,B3,B4,100,2,1)</f>
        <v>0.10596703756940597</v>
      </c>
      <c r="D66" s="208" t="s">
        <v>651</v>
      </c>
      <c r="E66" s="208"/>
    </row>
    <row r="67" spans="1:5" x14ac:dyDescent="0.25">
      <c r="A67" s="597"/>
    </row>
  </sheetData>
  <pageMargins left="0.75" right="0.75" top="1" bottom="1" header="0.5" footer="0.5"/>
  <pageSetup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4BCA-010C-4B2E-8FB7-903526CFAF0A}">
  <dimension ref="A1:G67"/>
  <sheetViews>
    <sheetView topLeftCell="A13" zoomScale="142" zoomScaleNormal="142" workbookViewId="0">
      <selection activeCell="E9" sqref="E9"/>
    </sheetView>
  </sheetViews>
  <sheetFormatPr baseColWidth="10" defaultColWidth="9.21875" defaultRowHeight="13.2" x14ac:dyDescent="0.25"/>
  <cols>
    <col min="1" max="1" width="19.5546875" style="68" bestFit="1" customWidth="1"/>
    <col min="2" max="2" width="20.44140625" style="68" customWidth="1"/>
    <col min="3" max="4" width="14.21875" style="68" bestFit="1" customWidth="1"/>
    <col min="5" max="5" width="19" style="68" bestFit="1" customWidth="1"/>
    <col min="6" max="6" width="13" style="68" customWidth="1"/>
    <col min="7" max="7" width="13.77734375" style="68" bestFit="1" customWidth="1"/>
    <col min="8" max="9" width="14.21875" style="68" bestFit="1" customWidth="1"/>
    <col min="10" max="16384" width="9.21875" style="68"/>
  </cols>
  <sheetData>
    <row r="1" spans="1:7" x14ac:dyDescent="0.25">
      <c r="A1" s="70" t="s">
        <v>137</v>
      </c>
      <c r="B1" s="598">
        <v>45553</v>
      </c>
    </row>
    <row r="2" spans="1:7" x14ac:dyDescent="0.25">
      <c r="A2" s="80" t="s">
        <v>632</v>
      </c>
      <c r="B2" s="81">
        <v>46552</v>
      </c>
    </row>
    <row r="3" spans="1:7" x14ac:dyDescent="0.25">
      <c r="A3" s="80" t="s">
        <v>138</v>
      </c>
      <c r="B3" s="585">
        <v>0.1</v>
      </c>
      <c r="C3" s="68" t="s">
        <v>633</v>
      </c>
    </row>
    <row r="4" spans="1:7" x14ac:dyDescent="0.25">
      <c r="A4" s="80" t="s">
        <v>634</v>
      </c>
      <c r="B4" s="82">
        <v>98.5</v>
      </c>
    </row>
    <row r="5" spans="1:7" x14ac:dyDescent="0.25">
      <c r="A5" s="83" t="s">
        <v>635</v>
      </c>
      <c r="B5" s="83" t="s">
        <v>636</v>
      </c>
    </row>
    <row r="6" spans="1:7" x14ac:dyDescent="0.25">
      <c r="A6" s="586" t="s">
        <v>637</v>
      </c>
      <c r="B6" s="587">
        <v>0.10631939999999999</v>
      </c>
      <c r="C6" s="599"/>
      <c r="D6" s="85"/>
    </row>
    <row r="8" spans="1:7" x14ac:dyDescent="0.25">
      <c r="A8" s="42" t="s">
        <v>638</v>
      </c>
      <c r="B8" s="42"/>
      <c r="C8" s="42"/>
      <c r="D8" s="42"/>
      <c r="E8" s="42"/>
      <c r="F8" s="42"/>
      <c r="G8" s="42"/>
    </row>
    <row r="9" spans="1:7" x14ac:dyDescent="0.25">
      <c r="A9" s="42"/>
      <c r="B9" s="42"/>
      <c r="C9" s="42"/>
      <c r="D9" s="42"/>
      <c r="E9" s="42"/>
      <c r="F9" s="42"/>
      <c r="G9" s="42"/>
    </row>
    <row r="10" spans="1:7" x14ac:dyDescent="0.25">
      <c r="A10" s="42"/>
      <c r="B10" s="589">
        <v>45457</v>
      </c>
      <c r="C10" s="42"/>
      <c r="D10" s="42"/>
      <c r="E10" s="42"/>
      <c r="F10" s="42"/>
      <c r="G10" s="42"/>
    </row>
    <row r="11" spans="1:7" x14ac:dyDescent="0.25">
      <c r="A11" s="42"/>
      <c r="B11" s="590">
        <f>B1</f>
        <v>45553</v>
      </c>
      <c r="C11" s="42"/>
      <c r="D11" s="42"/>
      <c r="E11" s="42"/>
      <c r="F11" s="42"/>
      <c r="G11" s="42"/>
    </row>
    <row r="12" spans="1:7" x14ac:dyDescent="0.25">
      <c r="A12" s="42"/>
      <c r="B12" s="589">
        <f>EDATE(B10,6)</f>
        <v>45640</v>
      </c>
      <c r="C12" s="42"/>
      <c r="D12" s="42"/>
      <c r="E12" s="42"/>
      <c r="F12" s="42"/>
      <c r="G12" s="42"/>
    </row>
    <row r="13" spans="1:7" x14ac:dyDescent="0.25">
      <c r="A13" s="42"/>
      <c r="B13" s="42"/>
      <c r="C13" s="42"/>
      <c r="D13" s="42"/>
      <c r="E13" s="42"/>
      <c r="F13" s="42"/>
      <c r="G13" s="42"/>
    </row>
    <row r="14" spans="1:7" x14ac:dyDescent="0.25">
      <c r="A14" s="42" t="s">
        <v>639</v>
      </c>
      <c r="B14" s="42"/>
      <c r="C14" s="42"/>
      <c r="D14" s="42"/>
      <c r="E14" s="42"/>
      <c r="F14" s="42"/>
      <c r="G14" s="42"/>
    </row>
    <row r="15" spans="1:7" x14ac:dyDescent="0.25">
      <c r="A15" s="42"/>
      <c r="B15" s="42"/>
      <c r="C15" s="42"/>
      <c r="D15" s="42"/>
      <c r="E15" s="42"/>
      <c r="F15" s="42"/>
      <c r="G15" s="42"/>
    </row>
    <row r="16" spans="1:7" x14ac:dyDescent="0.25">
      <c r="A16" s="42"/>
      <c r="B16" s="42" t="s">
        <v>652</v>
      </c>
      <c r="C16" s="85">
        <f>(B11-B10)*(B3*100/2)/(B12-B10)</f>
        <v>2.622950819672131</v>
      </c>
      <c r="D16" s="42" t="s">
        <v>653</v>
      </c>
      <c r="E16" s="42"/>
      <c r="F16" s="42"/>
      <c r="G16" s="85"/>
    </row>
    <row r="17" spans="1:7" x14ac:dyDescent="0.25">
      <c r="A17" s="42"/>
      <c r="B17" s="42" t="s">
        <v>640</v>
      </c>
      <c r="C17" s="591">
        <f>C16+B4</f>
        <v>101.12295081967213</v>
      </c>
      <c r="D17" s="42"/>
      <c r="E17" s="42"/>
      <c r="F17" s="42"/>
      <c r="G17" s="42"/>
    </row>
    <row r="18" spans="1:7" x14ac:dyDescent="0.25">
      <c r="E18" s="87"/>
    </row>
    <row r="19" spans="1:7" x14ac:dyDescent="0.25">
      <c r="A19" s="68" t="s">
        <v>641</v>
      </c>
    </row>
    <row r="21" spans="1:7" x14ac:dyDescent="0.25">
      <c r="B21" s="590">
        <f>B11</f>
        <v>45553</v>
      </c>
    </row>
    <row r="22" spans="1:7" x14ac:dyDescent="0.25">
      <c r="B22" s="583">
        <f>B12</f>
        <v>45640</v>
      </c>
    </row>
    <row r="23" spans="1:7" x14ac:dyDescent="0.25">
      <c r="B23" s="583">
        <f>EDATE(B22,6)</f>
        <v>45822</v>
      </c>
    </row>
    <row r="24" spans="1:7" x14ac:dyDescent="0.25">
      <c r="B24" s="583">
        <f>EDATE(B23,6)</f>
        <v>46005</v>
      </c>
    </row>
    <row r="25" spans="1:7" x14ac:dyDescent="0.25">
      <c r="B25" s="583">
        <f>EDATE(B24,6)</f>
        <v>46187</v>
      </c>
    </row>
    <row r="26" spans="1:7" x14ac:dyDescent="0.25">
      <c r="B26" s="583">
        <f>EDATE(B25,6)</f>
        <v>46370</v>
      </c>
    </row>
    <row r="27" spans="1:7" x14ac:dyDescent="0.25">
      <c r="B27" s="583">
        <f>EDATE(B26,6)</f>
        <v>46552</v>
      </c>
    </row>
    <row r="28" spans="1:7" x14ac:dyDescent="0.25">
      <c r="B28" s="583"/>
    </row>
    <row r="29" spans="1:7" x14ac:dyDescent="0.25">
      <c r="A29" s="68" t="s">
        <v>642</v>
      </c>
      <c r="B29" s="583"/>
    </row>
    <row r="30" spans="1:7" x14ac:dyDescent="0.25">
      <c r="B30" s="583"/>
    </row>
    <row r="31" spans="1:7" x14ac:dyDescent="0.25">
      <c r="B31" s="590">
        <f t="shared" ref="B31:B37" si="0">B21</f>
        <v>45553</v>
      </c>
    </row>
    <row r="32" spans="1:7" x14ac:dyDescent="0.25">
      <c r="B32" s="583">
        <f t="shared" si="0"/>
        <v>45640</v>
      </c>
      <c r="C32" s="68">
        <f>$B$3*100/2</f>
        <v>5</v>
      </c>
    </row>
    <row r="33" spans="1:4" x14ac:dyDescent="0.25">
      <c r="B33" s="583">
        <f t="shared" si="0"/>
        <v>45822</v>
      </c>
      <c r="C33" s="68">
        <f>$B$3*100/2</f>
        <v>5</v>
      </c>
    </row>
    <row r="34" spans="1:4" x14ac:dyDescent="0.25">
      <c r="B34" s="583">
        <f t="shared" si="0"/>
        <v>46005</v>
      </c>
      <c r="C34" s="68">
        <f>$B$3*100/2</f>
        <v>5</v>
      </c>
    </row>
    <row r="35" spans="1:4" x14ac:dyDescent="0.25">
      <c r="B35" s="583">
        <f t="shared" si="0"/>
        <v>46187</v>
      </c>
      <c r="C35" s="68">
        <f>$B$3*100/2</f>
        <v>5</v>
      </c>
    </row>
    <row r="36" spans="1:4" x14ac:dyDescent="0.25">
      <c r="B36" s="583">
        <f t="shared" si="0"/>
        <v>46370</v>
      </c>
      <c r="C36" s="68">
        <f>$B$3*100/2</f>
        <v>5</v>
      </c>
    </row>
    <row r="37" spans="1:4" x14ac:dyDescent="0.25">
      <c r="B37" s="583">
        <f t="shared" si="0"/>
        <v>46552</v>
      </c>
      <c r="C37" s="68">
        <f>(1+(B3/2))*100</f>
        <v>105</v>
      </c>
    </row>
    <row r="38" spans="1:4" x14ac:dyDescent="0.25">
      <c r="B38" s="583"/>
    </row>
    <row r="39" spans="1:4" x14ac:dyDescent="0.25">
      <c r="A39" s="68" t="s">
        <v>643</v>
      </c>
    </row>
    <row r="41" spans="1:4" x14ac:dyDescent="0.25">
      <c r="B41" s="583">
        <f t="shared" ref="B41:C47" si="1">B31</f>
        <v>45553</v>
      </c>
    </row>
    <row r="42" spans="1:4" x14ac:dyDescent="0.25">
      <c r="B42" s="583">
        <f t="shared" si="1"/>
        <v>45640</v>
      </c>
      <c r="C42" s="68">
        <f t="shared" si="1"/>
        <v>5</v>
      </c>
      <c r="D42" s="68">
        <f>C42/((1+($B$6/2))^1)</f>
        <v>4.747618048810641</v>
      </c>
    </row>
    <row r="43" spans="1:4" x14ac:dyDescent="0.25">
      <c r="B43" s="583">
        <f t="shared" si="1"/>
        <v>45822</v>
      </c>
      <c r="C43" s="68">
        <f t="shared" si="1"/>
        <v>5</v>
      </c>
      <c r="D43" s="68">
        <f>C43/((1+($B$6/2))^2)</f>
        <v>4.5079754274785122</v>
      </c>
    </row>
    <row r="44" spans="1:4" x14ac:dyDescent="0.25">
      <c r="B44" s="583">
        <f t="shared" si="1"/>
        <v>46005</v>
      </c>
      <c r="C44" s="68">
        <f t="shared" si="1"/>
        <v>5</v>
      </c>
      <c r="D44" s="68">
        <f>C44/((1+($B$6/2))^3)</f>
        <v>4.2804291006183703</v>
      </c>
    </row>
    <row r="45" spans="1:4" x14ac:dyDescent="0.25">
      <c r="B45" s="583">
        <f t="shared" si="1"/>
        <v>46187</v>
      </c>
      <c r="C45" s="68">
        <f t="shared" si="1"/>
        <v>5</v>
      </c>
      <c r="D45" s="68">
        <f>C45/((1+($B$6/2))^4)</f>
        <v>4.0643684909500148</v>
      </c>
    </row>
    <row r="46" spans="1:4" x14ac:dyDescent="0.25">
      <c r="B46" s="583">
        <f t="shared" si="1"/>
        <v>46370</v>
      </c>
      <c r="C46" s="68">
        <f t="shared" si="1"/>
        <v>5</v>
      </c>
      <c r="D46" s="68">
        <f>C46/((1+($B$6/2))^5)</f>
        <v>3.8592138409303125</v>
      </c>
    </row>
    <row r="47" spans="1:4" x14ac:dyDescent="0.25">
      <c r="B47" s="583">
        <f t="shared" si="1"/>
        <v>46552</v>
      </c>
      <c r="C47" s="68">
        <f t="shared" si="1"/>
        <v>105</v>
      </c>
      <c r="D47" s="88">
        <f>C47/((1+($B$6/2))^6)</f>
        <v>76.952707798766468</v>
      </c>
    </row>
    <row r="48" spans="1:4" x14ac:dyDescent="0.25">
      <c r="D48" s="592">
        <f>SUM(D42:D47)</f>
        <v>98.412312707554321</v>
      </c>
    </row>
    <row r="50" spans="1:7" x14ac:dyDescent="0.25">
      <c r="A50" s="68" t="s">
        <v>654</v>
      </c>
    </row>
    <row r="51" spans="1:7" x14ac:dyDescent="0.25">
      <c r="A51" s="68" t="s">
        <v>645</v>
      </c>
    </row>
    <row r="52" spans="1:7" x14ac:dyDescent="0.25">
      <c r="B52" s="68" t="s">
        <v>631</v>
      </c>
    </row>
    <row r="53" spans="1:7" x14ac:dyDescent="0.25">
      <c r="B53" s="583">
        <f>B10</f>
        <v>45457</v>
      </c>
    </row>
    <row r="54" spans="1:7" x14ac:dyDescent="0.25">
      <c r="B54" s="590">
        <f t="shared" ref="B54:C60" si="2">B41</f>
        <v>45553</v>
      </c>
    </row>
    <row r="55" spans="1:7" x14ac:dyDescent="0.25">
      <c r="B55" s="583">
        <f t="shared" si="2"/>
        <v>45640</v>
      </c>
      <c r="C55" s="68">
        <f t="shared" si="2"/>
        <v>5</v>
      </c>
      <c r="D55" s="593">
        <f>C55/((1+($B$6/2))^(G55))</f>
        <v>4.8783844773212088</v>
      </c>
      <c r="F55" s="77" t="s">
        <v>655</v>
      </c>
      <c r="G55" s="77">
        <f>($B$55-$B$54)/(B55-B53)</f>
        <v>0.47540983606557374</v>
      </c>
    </row>
    <row r="56" spans="1:7" x14ac:dyDescent="0.25">
      <c r="B56" s="583">
        <f t="shared" si="2"/>
        <v>45822</v>
      </c>
      <c r="C56" s="68">
        <f t="shared" si="2"/>
        <v>5</v>
      </c>
      <c r="D56" s="593">
        <f>C56/((1+($B$6/2))^(1+(G55)))</f>
        <v>4.6321412387135679</v>
      </c>
    </row>
    <row r="57" spans="1:7" x14ac:dyDescent="0.25">
      <c r="B57" s="583">
        <f t="shared" si="2"/>
        <v>46005</v>
      </c>
      <c r="C57" s="68">
        <f t="shared" si="2"/>
        <v>5</v>
      </c>
      <c r="D57" s="593">
        <f>C57/((1+($B$6/2))^(2+(G55)))</f>
        <v>4.3983274699113224</v>
      </c>
    </row>
    <row r="58" spans="1:7" x14ac:dyDescent="0.25">
      <c r="B58" s="583">
        <f t="shared" si="2"/>
        <v>46187</v>
      </c>
      <c r="C58" s="68">
        <f t="shared" si="2"/>
        <v>5</v>
      </c>
      <c r="D58" s="593">
        <f>C58/((1+($B$6/2))^(3+(G55)))</f>
        <v>4.1763157761461276</v>
      </c>
    </row>
    <row r="59" spans="1:7" x14ac:dyDescent="0.25">
      <c r="B59" s="583">
        <f t="shared" si="2"/>
        <v>46370</v>
      </c>
      <c r="C59" s="68">
        <f t="shared" si="2"/>
        <v>5</v>
      </c>
      <c r="D59" s="593">
        <f>C59/((1+($B$6/2))^(4+(G55)))</f>
        <v>3.9655104312727953</v>
      </c>
    </row>
    <row r="60" spans="1:7" x14ac:dyDescent="0.25">
      <c r="B60" s="583">
        <f t="shared" si="2"/>
        <v>46552</v>
      </c>
      <c r="C60" s="68">
        <f t="shared" si="2"/>
        <v>105</v>
      </c>
      <c r="D60" s="593">
        <f>C60/((1+($B$6/2))^(5+(G55)))</f>
        <v>79.0722613642819</v>
      </c>
    </row>
    <row r="61" spans="1:7" x14ac:dyDescent="0.25">
      <c r="D61" s="592">
        <f>SUM(D55:D60)</f>
        <v>101.12294075764692</v>
      </c>
      <c r="E61" s="68" t="s">
        <v>646</v>
      </c>
      <c r="G61" s="594">
        <f>C17</f>
        <v>101.12295081967213</v>
      </c>
    </row>
    <row r="63" spans="1:7" x14ac:dyDescent="0.25">
      <c r="A63" s="68" t="s">
        <v>647</v>
      </c>
    </row>
    <row r="65" spans="1:5" x14ac:dyDescent="0.25">
      <c r="A65" s="86" t="s">
        <v>648</v>
      </c>
      <c r="B65" s="86"/>
      <c r="C65" s="595">
        <f>PRICE(B1,B2,B3,B6,100,2,1)</f>
        <v>98.499989937974789</v>
      </c>
      <c r="D65" s="86" t="s">
        <v>649</v>
      </c>
      <c r="E65" s="86"/>
    </row>
    <row r="66" spans="1:5" x14ac:dyDescent="0.25">
      <c r="A66" s="208" t="s">
        <v>650</v>
      </c>
      <c r="B66" s="208"/>
      <c r="C66" s="596">
        <f>YIELD(B1,B2,B3,B4,100,2,1)</f>
        <v>0.10631935632441265</v>
      </c>
      <c r="D66" s="208" t="s">
        <v>656</v>
      </c>
      <c r="E66" s="208"/>
    </row>
    <row r="67" spans="1:5" x14ac:dyDescent="0.25">
      <c r="A67" s="597"/>
    </row>
  </sheetData>
  <pageMargins left="0.75" right="0.75" top="1" bottom="1" header="0.5" footer="0.5"/>
  <pageSetup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7E0D-1BF5-4F72-B601-AEB9CF29F6EC}">
  <dimension ref="A1:G67"/>
  <sheetViews>
    <sheetView zoomScale="142" zoomScaleNormal="142" workbookViewId="0">
      <selection activeCell="C5" sqref="C5"/>
    </sheetView>
  </sheetViews>
  <sheetFormatPr baseColWidth="10" defaultColWidth="9.21875" defaultRowHeight="13.2" x14ac:dyDescent="0.25"/>
  <cols>
    <col min="1" max="1" width="19.5546875" style="68" bestFit="1" customWidth="1"/>
    <col min="2" max="2" width="20.44140625" style="68" customWidth="1"/>
    <col min="3" max="4" width="14.21875" style="68" bestFit="1" customWidth="1"/>
    <col min="5" max="5" width="19" style="68" bestFit="1" customWidth="1"/>
    <col min="6" max="6" width="32.6640625" style="68" bestFit="1" customWidth="1"/>
    <col min="7" max="7" width="13.77734375" style="68" bestFit="1" customWidth="1"/>
    <col min="8" max="9" width="14.21875" style="68" bestFit="1" customWidth="1"/>
    <col min="10" max="16384" width="9.21875" style="68"/>
  </cols>
  <sheetData>
    <row r="1" spans="1:7" x14ac:dyDescent="0.25">
      <c r="A1" s="70" t="s">
        <v>137</v>
      </c>
      <c r="B1" s="598">
        <v>45553</v>
      </c>
    </row>
    <row r="2" spans="1:7" x14ac:dyDescent="0.25">
      <c r="A2" s="80" t="s">
        <v>632</v>
      </c>
      <c r="B2" s="81">
        <v>46552</v>
      </c>
    </row>
    <row r="3" spans="1:7" x14ac:dyDescent="0.25">
      <c r="A3" s="80" t="s">
        <v>138</v>
      </c>
      <c r="B3" s="585">
        <v>0.1</v>
      </c>
      <c r="C3" s="68" t="s">
        <v>633</v>
      </c>
    </row>
    <row r="4" spans="1:7" x14ac:dyDescent="0.25">
      <c r="A4" s="80" t="s">
        <v>634</v>
      </c>
      <c r="B4" s="82">
        <v>98.5</v>
      </c>
    </row>
    <row r="5" spans="1:7" x14ac:dyDescent="0.25">
      <c r="A5" s="83" t="s">
        <v>635</v>
      </c>
      <c r="B5" s="83" t="s">
        <v>657</v>
      </c>
    </row>
    <row r="6" spans="1:7" x14ac:dyDescent="0.25">
      <c r="A6" s="586" t="s">
        <v>637</v>
      </c>
      <c r="B6" s="600">
        <v>0.1063284329039975</v>
      </c>
      <c r="C6" s="599"/>
      <c r="D6" s="85"/>
    </row>
    <row r="8" spans="1:7" x14ac:dyDescent="0.25">
      <c r="A8" s="42" t="s">
        <v>638</v>
      </c>
      <c r="B8" s="42"/>
      <c r="C8" s="42"/>
      <c r="D8" s="42"/>
      <c r="E8" s="42"/>
      <c r="F8" s="42"/>
      <c r="G8" s="42"/>
    </row>
    <row r="9" spans="1:7" x14ac:dyDescent="0.25">
      <c r="A9" s="42"/>
      <c r="B9" s="42"/>
      <c r="C9" s="42"/>
      <c r="D9" s="42"/>
      <c r="E9" s="42"/>
      <c r="F9" s="42"/>
      <c r="G9" s="42"/>
    </row>
    <row r="10" spans="1:7" x14ac:dyDescent="0.25">
      <c r="A10" s="42"/>
      <c r="B10" s="589">
        <v>45457</v>
      </c>
      <c r="C10" s="42"/>
      <c r="D10" s="42"/>
      <c r="E10" s="42"/>
      <c r="F10" s="42"/>
      <c r="G10" s="42"/>
    </row>
    <row r="11" spans="1:7" x14ac:dyDescent="0.25">
      <c r="A11" s="42"/>
      <c r="B11" s="590">
        <f>B1</f>
        <v>45553</v>
      </c>
      <c r="C11" s="42"/>
      <c r="D11" s="42"/>
      <c r="E11" s="42"/>
      <c r="F11" s="42"/>
      <c r="G11" s="42"/>
    </row>
    <row r="12" spans="1:7" x14ac:dyDescent="0.25">
      <c r="A12" s="42"/>
      <c r="B12" s="589">
        <f>EDATE(B10,6)</f>
        <v>45640</v>
      </c>
      <c r="C12" s="42"/>
      <c r="D12" s="42"/>
      <c r="E12" s="42"/>
      <c r="F12" s="42"/>
      <c r="G12" s="42"/>
    </row>
    <row r="13" spans="1:7" x14ac:dyDescent="0.25">
      <c r="A13" s="42"/>
      <c r="B13" s="42"/>
      <c r="C13" s="42"/>
      <c r="D13" s="42"/>
      <c r="E13" s="42"/>
      <c r="F13" s="42"/>
      <c r="G13" s="42"/>
    </row>
    <row r="14" spans="1:7" x14ac:dyDescent="0.25">
      <c r="A14" s="42" t="s">
        <v>639</v>
      </c>
      <c r="B14" s="42"/>
      <c r="C14" s="42"/>
      <c r="D14" s="42"/>
      <c r="E14" s="42"/>
      <c r="F14" s="42"/>
      <c r="G14" s="42"/>
    </row>
    <row r="15" spans="1:7" x14ac:dyDescent="0.25">
      <c r="A15" s="42"/>
      <c r="B15" s="42"/>
      <c r="C15" s="42"/>
      <c r="D15" s="42"/>
      <c r="E15" s="42"/>
      <c r="F15" s="42"/>
      <c r="G15" s="42"/>
    </row>
    <row r="16" spans="1:7" x14ac:dyDescent="0.25">
      <c r="A16" s="42"/>
      <c r="B16" s="42" t="s">
        <v>652</v>
      </c>
      <c r="C16" s="85">
        <f>(B11-B10)*(B3*100/2)/(180)</f>
        <v>2.6666666666666665</v>
      </c>
      <c r="D16" s="42" t="s">
        <v>658</v>
      </c>
      <c r="E16" s="42"/>
      <c r="F16" s="42"/>
      <c r="G16" s="85"/>
    </row>
    <row r="17" spans="1:7" x14ac:dyDescent="0.25">
      <c r="A17" s="42"/>
      <c r="B17" s="42" t="s">
        <v>640</v>
      </c>
      <c r="C17" s="591">
        <f>C16+B4</f>
        <v>101.16666666666667</v>
      </c>
      <c r="D17" s="42"/>
      <c r="E17" s="42"/>
      <c r="F17" s="42"/>
      <c r="G17" s="42"/>
    </row>
    <row r="18" spans="1:7" x14ac:dyDescent="0.25">
      <c r="E18" s="87"/>
    </row>
    <row r="19" spans="1:7" x14ac:dyDescent="0.25">
      <c r="A19" s="68" t="s">
        <v>641</v>
      </c>
    </row>
    <row r="21" spans="1:7" x14ac:dyDescent="0.25">
      <c r="B21" s="590">
        <f>B11</f>
        <v>45553</v>
      </c>
    </row>
    <row r="22" spans="1:7" x14ac:dyDescent="0.25">
      <c r="B22" s="583">
        <f>B12</f>
        <v>45640</v>
      </c>
    </row>
    <row r="23" spans="1:7" x14ac:dyDescent="0.25">
      <c r="B23" s="583">
        <f>EDATE(B22,6)</f>
        <v>45822</v>
      </c>
    </row>
    <row r="24" spans="1:7" x14ac:dyDescent="0.25">
      <c r="B24" s="583">
        <f>EDATE(B23,6)</f>
        <v>46005</v>
      </c>
    </row>
    <row r="25" spans="1:7" x14ac:dyDescent="0.25">
      <c r="B25" s="583">
        <f>EDATE(B24,6)</f>
        <v>46187</v>
      </c>
    </row>
    <row r="26" spans="1:7" x14ac:dyDescent="0.25">
      <c r="B26" s="583">
        <f>EDATE(B25,6)</f>
        <v>46370</v>
      </c>
    </row>
    <row r="27" spans="1:7" x14ac:dyDescent="0.25">
      <c r="B27" s="583">
        <f>EDATE(B26,6)</f>
        <v>46552</v>
      </c>
    </row>
    <row r="28" spans="1:7" x14ac:dyDescent="0.25">
      <c r="B28" s="583"/>
    </row>
    <row r="29" spans="1:7" x14ac:dyDescent="0.25">
      <c r="A29" s="68" t="s">
        <v>642</v>
      </c>
      <c r="B29" s="583"/>
    </row>
    <row r="30" spans="1:7" x14ac:dyDescent="0.25">
      <c r="B30" s="583"/>
    </row>
    <row r="31" spans="1:7" x14ac:dyDescent="0.25">
      <c r="B31" s="590">
        <f t="shared" ref="B31:B37" si="0">B21</f>
        <v>45553</v>
      </c>
    </row>
    <row r="32" spans="1:7" x14ac:dyDescent="0.25">
      <c r="B32" s="583">
        <f t="shared" si="0"/>
        <v>45640</v>
      </c>
      <c r="C32" s="68">
        <f>$B$3*100/2</f>
        <v>5</v>
      </c>
    </row>
    <row r="33" spans="1:4" x14ac:dyDescent="0.25">
      <c r="B33" s="583">
        <f t="shared" si="0"/>
        <v>45822</v>
      </c>
      <c r="C33" s="68">
        <f>$B$3*100/2</f>
        <v>5</v>
      </c>
    </row>
    <row r="34" spans="1:4" x14ac:dyDescent="0.25">
      <c r="B34" s="583">
        <f t="shared" si="0"/>
        <v>46005</v>
      </c>
      <c r="C34" s="68">
        <f>$B$3*100/2</f>
        <v>5</v>
      </c>
    </row>
    <row r="35" spans="1:4" x14ac:dyDescent="0.25">
      <c r="B35" s="583">
        <f t="shared" si="0"/>
        <v>46187</v>
      </c>
      <c r="C35" s="68">
        <f>$B$3*100/2</f>
        <v>5</v>
      </c>
    </row>
    <row r="36" spans="1:4" x14ac:dyDescent="0.25">
      <c r="B36" s="583">
        <f t="shared" si="0"/>
        <v>46370</v>
      </c>
      <c r="C36" s="68">
        <f>$B$3*100/2</f>
        <v>5</v>
      </c>
    </row>
    <row r="37" spans="1:4" x14ac:dyDescent="0.25">
      <c r="B37" s="583">
        <f t="shared" si="0"/>
        <v>46552</v>
      </c>
      <c r="C37" s="68">
        <f>(1+(B3/2))*100</f>
        <v>105</v>
      </c>
    </row>
    <row r="38" spans="1:4" x14ac:dyDescent="0.25">
      <c r="B38" s="583"/>
    </row>
    <row r="39" spans="1:4" x14ac:dyDescent="0.25">
      <c r="A39" s="68" t="s">
        <v>643</v>
      </c>
    </row>
    <row r="41" spans="1:4" x14ac:dyDescent="0.25">
      <c r="B41" s="583">
        <f t="shared" ref="B41:C47" si="1">B31</f>
        <v>45553</v>
      </c>
    </row>
    <row r="42" spans="1:4" x14ac:dyDescent="0.25">
      <c r="B42" s="583">
        <f t="shared" si="1"/>
        <v>45640</v>
      </c>
      <c r="C42" s="68">
        <f t="shared" si="1"/>
        <v>5</v>
      </c>
      <c r="D42" s="68">
        <f>C42/((1+($B$6/2))^1)</f>
        <v>4.7475976888433244</v>
      </c>
    </row>
    <row r="43" spans="1:4" x14ac:dyDescent="0.25">
      <c r="B43" s="583">
        <f t="shared" si="1"/>
        <v>45822</v>
      </c>
      <c r="C43" s="68">
        <f t="shared" si="1"/>
        <v>5</v>
      </c>
      <c r="D43" s="68">
        <f>C43/((1+($B$6/2))^2)</f>
        <v>4.5079367630220952</v>
      </c>
    </row>
    <row r="44" spans="1:4" x14ac:dyDescent="0.25">
      <c r="B44" s="583">
        <f t="shared" si="1"/>
        <v>46005</v>
      </c>
      <c r="C44" s="68">
        <f t="shared" si="1"/>
        <v>5</v>
      </c>
      <c r="D44" s="68">
        <f>C44/((1+($B$6/2))^3)</f>
        <v>4.2803740315151115</v>
      </c>
    </row>
    <row r="45" spans="1:4" x14ac:dyDescent="0.25">
      <c r="B45" s="583">
        <f t="shared" si="1"/>
        <v>46187</v>
      </c>
      <c r="C45" s="68">
        <f t="shared" si="1"/>
        <v>5</v>
      </c>
      <c r="D45" s="68">
        <f>C45/((1+($B$6/2))^4)</f>
        <v>4.0642987718812256</v>
      </c>
    </row>
    <row r="46" spans="1:4" x14ac:dyDescent="0.25">
      <c r="B46" s="583">
        <f t="shared" si="1"/>
        <v>46370</v>
      </c>
      <c r="C46" s="68">
        <f t="shared" si="1"/>
        <v>5</v>
      </c>
      <c r="D46" s="68">
        <f>C46/((1+($B$6/2))^5)</f>
        <v>3.859131091230414</v>
      </c>
    </row>
    <row r="47" spans="1:4" x14ac:dyDescent="0.25">
      <c r="B47" s="583">
        <f t="shared" si="1"/>
        <v>46552</v>
      </c>
      <c r="C47" s="68">
        <f t="shared" si="1"/>
        <v>105</v>
      </c>
      <c r="D47" s="88">
        <f>C47/((1+($B$6/2))^6)</f>
        <v>76.950727768609511</v>
      </c>
    </row>
    <row r="48" spans="1:4" x14ac:dyDescent="0.25">
      <c r="D48" s="592">
        <f>SUM(D42:D47)</f>
        <v>98.410066115101685</v>
      </c>
    </row>
    <row r="50" spans="1:7" x14ac:dyDescent="0.25">
      <c r="A50" s="68" t="s">
        <v>654</v>
      </c>
    </row>
    <row r="51" spans="1:7" x14ac:dyDescent="0.25">
      <c r="A51" s="68" t="s">
        <v>645</v>
      </c>
    </row>
    <row r="52" spans="1:7" x14ac:dyDescent="0.25">
      <c r="B52" s="68" t="s">
        <v>631</v>
      </c>
    </row>
    <row r="53" spans="1:7" x14ac:dyDescent="0.25">
      <c r="B53" s="583">
        <f>B10</f>
        <v>45457</v>
      </c>
    </row>
    <row r="54" spans="1:7" x14ac:dyDescent="0.25">
      <c r="B54" s="590">
        <f t="shared" ref="B54:C60" si="2">B41</f>
        <v>45553</v>
      </c>
      <c r="F54" s="77" t="s">
        <v>659</v>
      </c>
      <c r="G54" s="77">
        <f>B55-B53</f>
        <v>183</v>
      </c>
    </row>
    <row r="55" spans="1:7" x14ac:dyDescent="0.25">
      <c r="B55" s="583">
        <f t="shared" si="2"/>
        <v>45640</v>
      </c>
      <c r="C55" s="68">
        <f t="shared" si="2"/>
        <v>5</v>
      </c>
      <c r="D55" s="593">
        <f>C55/((1+($B$6/2))^(G55))</f>
        <v>4.8805843936014268</v>
      </c>
      <c r="F55" s="77" t="s">
        <v>655</v>
      </c>
      <c r="G55" s="77">
        <f>($B$55-$B$54-3)/(B55-B53-3)</f>
        <v>0.46666666666666667</v>
      </c>
    </row>
    <row r="56" spans="1:7" x14ac:dyDescent="0.25">
      <c r="B56" s="583">
        <f t="shared" si="2"/>
        <v>45822</v>
      </c>
      <c r="C56" s="68">
        <f t="shared" si="2"/>
        <v>5</v>
      </c>
      <c r="D56" s="593">
        <f>C56/((1+($B$6/2))^(1+(G55)))</f>
        <v>4.6342102374533862</v>
      </c>
    </row>
    <row r="57" spans="1:7" x14ac:dyDescent="0.25">
      <c r="B57" s="583">
        <f t="shared" si="2"/>
        <v>46005</v>
      </c>
      <c r="C57" s="68">
        <f t="shared" si="2"/>
        <v>5</v>
      </c>
      <c r="D57" s="593">
        <f>C57/((1+($B$6/2))^(2+(G55)))</f>
        <v>4.4002731625895537</v>
      </c>
    </row>
    <row r="58" spans="1:7" x14ac:dyDescent="0.25">
      <c r="B58" s="583">
        <f t="shared" si="2"/>
        <v>46187</v>
      </c>
      <c r="C58" s="68">
        <f t="shared" si="2"/>
        <v>5</v>
      </c>
      <c r="D58" s="593">
        <f>C58/((1+($B$6/2))^(3+(G55)))</f>
        <v>4.1781453393978945</v>
      </c>
    </row>
    <row r="59" spans="1:7" x14ac:dyDescent="0.25">
      <c r="B59" s="583">
        <f t="shared" si="2"/>
        <v>46370</v>
      </c>
      <c r="C59" s="68">
        <f t="shared" si="2"/>
        <v>5</v>
      </c>
      <c r="D59" s="593">
        <f>C59/((1+($B$6/2))^(4+(G55)))</f>
        <v>3.9672306313953904</v>
      </c>
    </row>
    <row r="60" spans="1:7" x14ac:dyDescent="0.25">
      <c r="B60" s="583">
        <f t="shared" si="2"/>
        <v>46552</v>
      </c>
      <c r="C60" s="68">
        <f t="shared" si="2"/>
        <v>105</v>
      </c>
      <c r="D60" s="593">
        <f>C60/((1+($B$6/2))^(5+(G55)))</f>
        <v>79.106222902229035</v>
      </c>
    </row>
    <row r="61" spans="1:7" x14ac:dyDescent="0.25">
      <c r="D61" s="592">
        <f>SUM(D55:D60)</f>
        <v>101.16666666666669</v>
      </c>
      <c r="E61" s="68" t="s">
        <v>646</v>
      </c>
      <c r="G61" s="594">
        <f>C17</f>
        <v>101.16666666666667</v>
      </c>
    </row>
    <row r="63" spans="1:7" x14ac:dyDescent="0.25">
      <c r="A63" s="68" t="s">
        <v>647</v>
      </c>
    </row>
    <row r="65" spans="1:5" x14ac:dyDescent="0.25">
      <c r="A65" s="86" t="s">
        <v>648</v>
      </c>
      <c r="B65" s="86"/>
      <c r="C65" s="595">
        <f>PRICE(B1,B2,B3,B6,100,2,2)</f>
        <v>98.500000000000014</v>
      </c>
      <c r="D65" s="86" t="s">
        <v>649</v>
      </c>
      <c r="E65" s="86"/>
    </row>
    <row r="66" spans="1:5" x14ac:dyDescent="0.25">
      <c r="A66" s="208" t="s">
        <v>650</v>
      </c>
      <c r="B66" s="208"/>
      <c r="C66" s="596">
        <f>YIELD(B1,B2,B3,B4,100,2,2)</f>
        <v>0.1063284329039975</v>
      </c>
      <c r="D66" s="208" t="s">
        <v>656</v>
      </c>
      <c r="E66" s="208"/>
    </row>
    <row r="67" spans="1:5" x14ac:dyDescent="0.25">
      <c r="A67" s="597"/>
    </row>
  </sheetData>
  <pageMargins left="0.75" right="0.75" top="1" bottom="1" header="0.5" footer="0.5"/>
  <pageSetup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9A7C-4F4D-4233-931F-F9896AE7A25F}">
  <dimension ref="A1:J67"/>
  <sheetViews>
    <sheetView topLeftCell="A10" zoomScale="142" zoomScaleNormal="142" workbookViewId="0">
      <selection activeCell="E10" sqref="E10"/>
    </sheetView>
  </sheetViews>
  <sheetFormatPr baseColWidth="10" defaultColWidth="9.21875" defaultRowHeight="13.2" x14ac:dyDescent="0.25"/>
  <cols>
    <col min="1" max="1" width="19.5546875" style="68" bestFit="1" customWidth="1"/>
    <col min="2" max="2" width="20.44140625" style="68" customWidth="1"/>
    <col min="3" max="4" width="14.21875" style="68" bestFit="1" customWidth="1"/>
    <col min="5" max="5" width="19" style="68" bestFit="1" customWidth="1"/>
    <col min="6" max="6" width="9.21875" style="68"/>
    <col min="7" max="7" width="13.77734375" style="68" bestFit="1" customWidth="1"/>
    <col min="8" max="8" width="17.44140625" style="68" bestFit="1" customWidth="1"/>
    <col min="9" max="9" width="14.21875" style="68" bestFit="1" customWidth="1"/>
    <col min="10" max="10" width="15.77734375" style="68" bestFit="1" customWidth="1"/>
    <col min="11" max="16384" width="9.21875" style="68"/>
  </cols>
  <sheetData>
    <row r="1" spans="1:10" x14ac:dyDescent="0.25">
      <c r="A1" s="70" t="s">
        <v>137</v>
      </c>
      <c r="B1" s="79">
        <v>45553</v>
      </c>
    </row>
    <row r="2" spans="1:10" x14ac:dyDescent="0.25">
      <c r="A2" s="80" t="s">
        <v>632</v>
      </c>
      <c r="B2" s="81">
        <v>46552</v>
      </c>
      <c r="H2" s="77" t="s">
        <v>6</v>
      </c>
      <c r="I2" s="77" t="s">
        <v>660</v>
      </c>
      <c r="J2" s="77" t="s">
        <v>661</v>
      </c>
    </row>
    <row r="3" spans="1:10" x14ac:dyDescent="0.25">
      <c r="A3" s="80" t="s">
        <v>138</v>
      </c>
      <c r="B3" s="585">
        <v>0.1</v>
      </c>
      <c r="C3" s="68" t="s">
        <v>633</v>
      </c>
      <c r="H3" s="601">
        <f>B1</f>
        <v>45553</v>
      </c>
      <c r="I3" s="77">
        <f>WEEKDAY(H3)</f>
        <v>4</v>
      </c>
      <c r="J3" s="77">
        <v>0</v>
      </c>
    </row>
    <row r="4" spans="1:10" x14ac:dyDescent="0.25">
      <c r="A4" s="80" t="s">
        <v>634</v>
      </c>
      <c r="B4" s="82">
        <v>98.5</v>
      </c>
      <c r="H4" s="601">
        <f>H3+1</f>
        <v>45554</v>
      </c>
      <c r="I4" s="77">
        <f t="shared" ref="I4:I10" si="0">WEEKDAY(H4)</f>
        <v>5</v>
      </c>
      <c r="J4" s="77">
        <v>1</v>
      </c>
    </row>
    <row r="5" spans="1:10" x14ac:dyDescent="0.25">
      <c r="A5" s="83" t="s">
        <v>635</v>
      </c>
      <c r="B5" s="83" t="s">
        <v>636</v>
      </c>
      <c r="H5" s="601">
        <f t="shared" ref="H5:H10" si="1">H4+1</f>
        <v>45555</v>
      </c>
      <c r="I5" s="77">
        <f t="shared" si="0"/>
        <v>6</v>
      </c>
      <c r="J5" s="77">
        <v>2</v>
      </c>
    </row>
    <row r="6" spans="1:10" x14ac:dyDescent="0.25">
      <c r="A6" s="586" t="s">
        <v>637</v>
      </c>
      <c r="B6" s="587">
        <v>0.10635998754245278</v>
      </c>
      <c r="C6" s="84"/>
      <c r="D6" s="85"/>
      <c r="H6" s="601">
        <f t="shared" si="1"/>
        <v>45556</v>
      </c>
      <c r="I6" s="306">
        <f t="shared" si="0"/>
        <v>7</v>
      </c>
      <c r="J6" s="77">
        <v>2</v>
      </c>
    </row>
    <row r="7" spans="1:10" x14ac:dyDescent="0.25">
      <c r="H7" s="601">
        <f t="shared" si="1"/>
        <v>45557</v>
      </c>
      <c r="I7" s="306">
        <f t="shared" si="0"/>
        <v>1</v>
      </c>
      <c r="J7" s="77">
        <v>2</v>
      </c>
    </row>
    <row r="8" spans="1:10" x14ac:dyDescent="0.25">
      <c r="A8" s="42" t="s">
        <v>638</v>
      </c>
      <c r="B8" s="42"/>
      <c r="C8" s="42"/>
      <c r="D8" s="42"/>
      <c r="E8" s="42"/>
      <c r="F8" s="42"/>
      <c r="G8" s="42"/>
      <c r="H8" s="601">
        <f t="shared" si="1"/>
        <v>45558</v>
      </c>
      <c r="I8" s="43">
        <f t="shared" si="0"/>
        <v>2</v>
      </c>
      <c r="J8" s="77">
        <v>3</v>
      </c>
    </row>
    <row r="9" spans="1:10" x14ac:dyDescent="0.25">
      <c r="A9" s="42"/>
      <c r="B9" s="42"/>
      <c r="C9" s="42"/>
      <c r="D9" s="42"/>
      <c r="E9" s="42"/>
      <c r="F9" s="42"/>
      <c r="G9" s="42"/>
      <c r="H9" s="601">
        <f t="shared" si="1"/>
        <v>45559</v>
      </c>
      <c r="I9" s="77">
        <f t="shared" si="0"/>
        <v>3</v>
      </c>
      <c r="J9" s="77">
        <v>4</v>
      </c>
    </row>
    <row r="10" spans="1:10" x14ac:dyDescent="0.25">
      <c r="A10" s="42"/>
      <c r="B10" s="589">
        <v>45457</v>
      </c>
      <c r="C10" s="42"/>
      <c r="D10" s="42"/>
      <c r="E10" s="42"/>
      <c r="F10" s="42"/>
      <c r="G10" s="42"/>
      <c r="H10" s="601">
        <f t="shared" si="1"/>
        <v>45560</v>
      </c>
      <c r="I10" s="77">
        <f t="shared" si="0"/>
        <v>4</v>
      </c>
      <c r="J10" s="77">
        <v>5</v>
      </c>
    </row>
    <row r="11" spans="1:10" x14ac:dyDescent="0.25">
      <c r="A11" s="42"/>
      <c r="B11" s="602">
        <f>H10</f>
        <v>45560</v>
      </c>
      <c r="C11" s="42" t="s">
        <v>662</v>
      </c>
      <c r="D11" s="42"/>
      <c r="E11" s="42"/>
      <c r="F11" s="42"/>
      <c r="G11" s="42"/>
    </row>
    <row r="12" spans="1:10" x14ac:dyDescent="0.25">
      <c r="A12" s="42"/>
      <c r="B12" s="589">
        <f>EDATE(B10,6)</f>
        <v>45640</v>
      </c>
      <c r="C12" s="42"/>
      <c r="D12" s="42"/>
      <c r="E12" s="42"/>
      <c r="F12" s="42"/>
      <c r="G12" s="42"/>
    </row>
    <row r="13" spans="1:10" x14ac:dyDescent="0.25">
      <c r="A13" s="42"/>
      <c r="B13" s="42"/>
      <c r="C13" s="42"/>
      <c r="D13" s="42"/>
      <c r="E13" s="42"/>
      <c r="F13" s="42"/>
      <c r="G13" s="42"/>
    </row>
    <row r="14" spans="1:10" x14ac:dyDescent="0.25">
      <c r="A14" s="42" t="s">
        <v>639</v>
      </c>
      <c r="B14" s="42"/>
      <c r="C14" s="42"/>
      <c r="D14" s="42"/>
      <c r="E14" s="42"/>
      <c r="F14" s="42"/>
      <c r="G14" s="42"/>
    </row>
    <row r="15" spans="1:10" x14ac:dyDescent="0.25">
      <c r="A15" s="42"/>
      <c r="B15" s="42"/>
      <c r="C15" s="42"/>
      <c r="D15" s="42"/>
      <c r="E15" s="42"/>
      <c r="F15" s="42"/>
      <c r="G15" s="42"/>
    </row>
    <row r="16" spans="1:10" x14ac:dyDescent="0.25">
      <c r="A16" s="42"/>
      <c r="B16" s="42" t="s">
        <v>652</v>
      </c>
      <c r="C16" s="85">
        <f>(B11-B10)*(B3*100/2)/(B12-B10)</f>
        <v>2.8142076502732238</v>
      </c>
      <c r="D16" s="42" t="s">
        <v>653</v>
      </c>
      <c r="E16" s="42"/>
      <c r="F16" s="42"/>
      <c r="G16" s="85"/>
    </row>
    <row r="17" spans="1:7" x14ac:dyDescent="0.25">
      <c r="A17" s="42"/>
      <c r="B17" s="42" t="s">
        <v>640</v>
      </c>
      <c r="C17" s="591">
        <f>C16+B4</f>
        <v>101.31420765027322</v>
      </c>
      <c r="D17" s="42"/>
      <c r="E17" s="42"/>
      <c r="F17" s="42"/>
      <c r="G17" s="42"/>
    </row>
    <row r="18" spans="1:7" x14ac:dyDescent="0.25">
      <c r="E18" s="87"/>
    </row>
    <row r="19" spans="1:7" x14ac:dyDescent="0.25">
      <c r="A19" s="68" t="s">
        <v>641</v>
      </c>
    </row>
    <row r="21" spans="1:7" x14ac:dyDescent="0.25">
      <c r="B21" s="583">
        <f>B11</f>
        <v>45560</v>
      </c>
    </row>
    <row r="22" spans="1:7" x14ac:dyDescent="0.25">
      <c r="B22" s="583">
        <f>B12</f>
        <v>45640</v>
      </c>
    </row>
    <row r="23" spans="1:7" x14ac:dyDescent="0.25">
      <c r="B23" s="583">
        <f>EDATE(B22,6)</f>
        <v>45822</v>
      </c>
    </row>
    <row r="24" spans="1:7" x14ac:dyDescent="0.25">
      <c r="B24" s="583">
        <f>EDATE(B23,6)</f>
        <v>46005</v>
      </c>
    </row>
    <row r="25" spans="1:7" x14ac:dyDescent="0.25">
      <c r="B25" s="583">
        <f>EDATE(B24,6)</f>
        <v>46187</v>
      </c>
    </row>
    <row r="26" spans="1:7" x14ac:dyDescent="0.25">
      <c r="B26" s="583">
        <f>EDATE(B25,6)</f>
        <v>46370</v>
      </c>
    </row>
    <row r="27" spans="1:7" x14ac:dyDescent="0.25">
      <c r="B27" s="583">
        <f>EDATE(B26,6)</f>
        <v>46552</v>
      </c>
    </row>
    <row r="28" spans="1:7" x14ac:dyDescent="0.25">
      <c r="B28" s="583"/>
    </row>
    <row r="29" spans="1:7" x14ac:dyDescent="0.25">
      <c r="A29" s="68" t="s">
        <v>642</v>
      </c>
      <c r="B29" s="583"/>
    </row>
    <row r="30" spans="1:7" x14ac:dyDescent="0.25">
      <c r="B30" s="583"/>
    </row>
    <row r="31" spans="1:7" x14ac:dyDescent="0.25">
      <c r="B31" s="583">
        <f t="shared" ref="B31:B37" si="2">B21</f>
        <v>45560</v>
      </c>
    </row>
    <row r="32" spans="1:7" x14ac:dyDescent="0.25">
      <c r="B32" s="583">
        <f t="shared" si="2"/>
        <v>45640</v>
      </c>
      <c r="C32" s="68">
        <f>$B$3*100/2</f>
        <v>5</v>
      </c>
    </row>
    <row r="33" spans="1:4" x14ac:dyDescent="0.25">
      <c r="B33" s="583">
        <f t="shared" si="2"/>
        <v>45822</v>
      </c>
      <c r="C33" s="68">
        <f>$B$3*100/2</f>
        <v>5</v>
      </c>
    </row>
    <row r="34" spans="1:4" x14ac:dyDescent="0.25">
      <c r="B34" s="583">
        <f t="shared" si="2"/>
        <v>46005</v>
      </c>
      <c r="C34" s="68">
        <f>$B$3*100/2</f>
        <v>5</v>
      </c>
    </row>
    <row r="35" spans="1:4" x14ac:dyDescent="0.25">
      <c r="B35" s="583">
        <f t="shared" si="2"/>
        <v>46187</v>
      </c>
      <c r="C35" s="68">
        <f>$B$3*100/2</f>
        <v>5</v>
      </c>
    </row>
    <row r="36" spans="1:4" x14ac:dyDescent="0.25">
      <c r="B36" s="583">
        <f t="shared" si="2"/>
        <v>46370</v>
      </c>
      <c r="C36" s="68">
        <f>$B$3*100/2</f>
        <v>5</v>
      </c>
    </row>
    <row r="37" spans="1:4" x14ac:dyDescent="0.25">
      <c r="B37" s="583">
        <f t="shared" si="2"/>
        <v>46552</v>
      </c>
      <c r="C37" s="68">
        <f>(1+(B3/2))*100</f>
        <v>105</v>
      </c>
    </row>
    <row r="38" spans="1:4" x14ac:dyDescent="0.25">
      <c r="B38" s="583"/>
    </row>
    <row r="39" spans="1:4" x14ac:dyDescent="0.25">
      <c r="A39" s="68" t="s">
        <v>643</v>
      </c>
    </row>
    <row r="41" spans="1:4" x14ac:dyDescent="0.25">
      <c r="B41" s="583">
        <f t="shared" ref="B41:C47" si="3">B31</f>
        <v>45560</v>
      </c>
    </row>
    <row r="42" spans="1:4" x14ac:dyDescent="0.25">
      <c r="B42" s="583">
        <f t="shared" si="3"/>
        <v>45640</v>
      </c>
      <c r="C42" s="68">
        <f t="shared" si="3"/>
        <v>5</v>
      </c>
      <c r="D42" s="68">
        <f>C42/((1+($B$6/2))^1)</f>
        <v>4.7475265667514277</v>
      </c>
    </row>
    <row r="43" spans="1:4" x14ac:dyDescent="0.25">
      <c r="B43" s="583">
        <f t="shared" si="3"/>
        <v>45822</v>
      </c>
      <c r="C43" s="68">
        <f t="shared" si="3"/>
        <v>5</v>
      </c>
      <c r="D43" s="68">
        <f>C43/((1+($B$6/2))^2)</f>
        <v>4.5078017004021191</v>
      </c>
    </row>
    <row r="44" spans="1:4" x14ac:dyDescent="0.25">
      <c r="B44" s="583">
        <f t="shared" si="3"/>
        <v>46005</v>
      </c>
      <c r="C44" s="68">
        <f t="shared" si="3"/>
        <v>5</v>
      </c>
      <c r="D44" s="68">
        <f>C44/((1+($B$6/2))^3)</f>
        <v>4.2801816660612646</v>
      </c>
    </row>
    <row r="45" spans="1:4" x14ac:dyDescent="0.25">
      <c r="B45" s="583">
        <f t="shared" si="3"/>
        <v>46187</v>
      </c>
      <c r="C45" s="68">
        <f t="shared" si="3"/>
        <v>5</v>
      </c>
      <c r="D45" s="68">
        <f>C45/((1+($B$6/2))^4)</f>
        <v>4.0640552340296479</v>
      </c>
    </row>
    <row r="46" spans="1:4" x14ac:dyDescent="0.25">
      <c r="B46" s="583">
        <f t="shared" si="3"/>
        <v>46370</v>
      </c>
      <c r="C46" s="68">
        <f t="shared" si="3"/>
        <v>5</v>
      </c>
      <c r="D46" s="68">
        <f>C46/((1+($B$6/2))^5)</f>
        <v>3.8588420384601889</v>
      </c>
    </row>
    <row r="47" spans="1:4" x14ac:dyDescent="0.25">
      <c r="B47" s="583">
        <f t="shared" si="3"/>
        <v>46552</v>
      </c>
      <c r="C47" s="68">
        <f t="shared" si="3"/>
        <v>105</v>
      </c>
      <c r="D47" s="88">
        <f>C47/((1+($B$6/2))^6)</f>
        <v>76.943811396845319</v>
      </c>
    </row>
    <row r="48" spans="1:4" x14ac:dyDescent="0.25">
      <c r="D48" s="592">
        <f>SUM(D42:D47)</f>
        <v>98.402218602549965</v>
      </c>
    </row>
    <row r="50" spans="1:7" x14ac:dyDescent="0.25">
      <c r="A50" s="68" t="s">
        <v>654</v>
      </c>
    </row>
    <row r="51" spans="1:7" x14ac:dyDescent="0.25">
      <c r="A51" s="68" t="s">
        <v>645</v>
      </c>
    </row>
    <row r="52" spans="1:7" x14ac:dyDescent="0.25">
      <c r="B52" s="68" t="s">
        <v>631</v>
      </c>
    </row>
    <row r="53" spans="1:7" x14ac:dyDescent="0.25">
      <c r="B53" s="583">
        <f>B10</f>
        <v>45457</v>
      </c>
      <c r="D53" s="68">
        <f>($B$55-$B$54)/(B55-B53)</f>
        <v>0.43715846994535518</v>
      </c>
    </row>
    <row r="54" spans="1:7" x14ac:dyDescent="0.25">
      <c r="B54" s="583">
        <f t="shared" ref="B54:C60" si="4">B41</f>
        <v>45560</v>
      </c>
    </row>
    <row r="55" spans="1:7" x14ac:dyDescent="0.25">
      <c r="B55" s="583">
        <f t="shared" si="4"/>
        <v>45640</v>
      </c>
      <c r="C55" s="68">
        <f t="shared" si="4"/>
        <v>5</v>
      </c>
      <c r="D55" s="593">
        <f>C55/((1+($B$6/2))^(D53))</f>
        <v>4.8880180602415679</v>
      </c>
      <c r="E55" s="68" t="s">
        <v>655</v>
      </c>
    </row>
    <row r="56" spans="1:7" x14ac:dyDescent="0.25">
      <c r="B56" s="583">
        <f t="shared" si="4"/>
        <v>45822</v>
      </c>
      <c r="C56" s="68">
        <f t="shared" si="4"/>
        <v>5</v>
      </c>
      <c r="D56" s="593">
        <f>C56/((1+($B$6/2))^(1+(D53)))</f>
        <v>4.6411991199515246</v>
      </c>
    </row>
    <row r="57" spans="1:7" x14ac:dyDescent="0.25">
      <c r="B57" s="583">
        <f t="shared" si="4"/>
        <v>46005</v>
      </c>
      <c r="C57" s="68">
        <f t="shared" si="4"/>
        <v>5</v>
      </c>
      <c r="D57" s="593">
        <f>C57/((1+($B$6/2))^(2+(D53)))</f>
        <v>4.4068432247106415</v>
      </c>
    </row>
    <row r="58" spans="1:7" x14ac:dyDescent="0.25">
      <c r="B58" s="583">
        <f t="shared" si="4"/>
        <v>46187</v>
      </c>
      <c r="C58" s="68">
        <f t="shared" si="4"/>
        <v>5</v>
      </c>
      <c r="D58" s="593">
        <f>C58/((1+($B$6/2))^(3+(D53)))</f>
        <v>4.1843210569644613</v>
      </c>
    </row>
    <row r="59" spans="1:7" x14ac:dyDescent="0.25">
      <c r="B59" s="583">
        <f t="shared" si="4"/>
        <v>46370</v>
      </c>
      <c r="C59" s="68">
        <f t="shared" si="4"/>
        <v>5</v>
      </c>
      <c r="D59" s="593">
        <f>C59/((1+($B$6/2))^(4+(D53)))</f>
        <v>3.9730350763512385</v>
      </c>
    </row>
    <row r="60" spans="1:7" x14ac:dyDescent="0.25">
      <c r="B60" s="583">
        <f t="shared" si="4"/>
        <v>46552</v>
      </c>
      <c r="C60" s="68">
        <f t="shared" si="4"/>
        <v>105</v>
      </c>
      <c r="D60" s="593">
        <f>C60/((1+($B$6/2))^(5+(D53)))</f>
        <v>79.220776217573729</v>
      </c>
    </row>
    <row r="61" spans="1:7" x14ac:dyDescent="0.25">
      <c r="D61" s="592">
        <f>SUM(D55:D60)</f>
        <v>101.31419275579316</v>
      </c>
      <c r="E61" s="68" t="s">
        <v>646</v>
      </c>
      <c r="G61" s="594">
        <f>C17</f>
        <v>101.31420765027322</v>
      </c>
    </row>
    <row r="63" spans="1:7" x14ac:dyDescent="0.25">
      <c r="A63" s="68" t="s">
        <v>647</v>
      </c>
    </row>
    <row r="65" spans="1:6" x14ac:dyDescent="0.25">
      <c r="A65" s="86" t="s">
        <v>648</v>
      </c>
      <c r="B65" s="86"/>
      <c r="C65" s="595">
        <f>PRICE(B11,B2,B3,B6,100,2,1)</f>
        <v>98.49998510551994</v>
      </c>
      <c r="D65" s="603" t="s">
        <v>649</v>
      </c>
      <c r="E65" s="603"/>
      <c r="F65" s="603"/>
    </row>
    <row r="66" spans="1:6" x14ac:dyDescent="0.25">
      <c r="A66" s="208" t="s">
        <v>650</v>
      </c>
      <c r="B66" s="208"/>
      <c r="C66" s="596">
        <f>YIELD(B11,B2,B3,B4,100,2,1)</f>
        <v>0.10635992249267123</v>
      </c>
      <c r="D66" s="68" t="s">
        <v>656</v>
      </c>
    </row>
    <row r="67" spans="1:6" x14ac:dyDescent="0.25">
      <c r="A67" s="597"/>
    </row>
  </sheetData>
  <pageMargins left="0.75" right="0.75" top="1" bottom="1" header="0.5" footer="0.5"/>
  <pageSetup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44905-30BD-4961-8641-E4C08374B818}">
  <dimension ref="A1:D18"/>
  <sheetViews>
    <sheetView workbookViewId="0">
      <selection activeCell="F1" sqref="F1"/>
    </sheetView>
  </sheetViews>
  <sheetFormatPr baseColWidth="10" defaultColWidth="8.77734375" defaultRowHeight="14.4" x14ac:dyDescent="0.3"/>
  <cols>
    <col min="1" max="1" width="25" style="309" bestFit="1" customWidth="1"/>
    <col min="2" max="2" width="17.77734375" style="309" bestFit="1" customWidth="1"/>
    <col min="3" max="3" width="16" style="309" bestFit="1" customWidth="1"/>
    <col min="4" max="4" width="23.77734375" style="309" bestFit="1" customWidth="1"/>
    <col min="5" max="16384" width="8.77734375" style="309"/>
  </cols>
  <sheetData>
    <row r="1" spans="1:4" x14ac:dyDescent="0.3">
      <c r="A1" s="307" t="s">
        <v>370</v>
      </c>
      <c r="B1" s="308">
        <v>100</v>
      </c>
    </row>
    <row r="2" spans="1:4" x14ac:dyDescent="0.3">
      <c r="A2" s="307" t="s">
        <v>371</v>
      </c>
      <c r="B2" s="310">
        <v>0.04</v>
      </c>
      <c r="C2" s="309" t="s">
        <v>372</v>
      </c>
    </row>
    <row r="3" spans="1:4" x14ac:dyDescent="0.3">
      <c r="A3" s="307" t="s">
        <v>373</v>
      </c>
      <c r="B3" s="310">
        <v>0.05</v>
      </c>
      <c r="C3" s="311"/>
    </row>
    <row r="5" spans="1:4" x14ac:dyDescent="0.3">
      <c r="B5" s="312" t="s">
        <v>78</v>
      </c>
      <c r="C5" s="312" t="s">
        <v>374</v>
      </c>
      <c r="D5" s="312" t="s">
        <v>375</v>
      </c>
    </row>
    <row r="6" spans="1:4" x14ac:dyDescent="0.3">
      <c r="B6" s="312">
        <v>0</v>
      </c>
      <c r="C6" s="312"/>
      <c r="D6" s="312"/>
    </row>
    <row r="7" spans="1:4" x14ac:dyDescent="0.3">
      <c r="A7" s="740" t="s">
        <v>376</v>
      </c>
      <c r="B7" s="312">
        <f t="shared" ref="B7:B16" si="0">B6+1</f>
        <v>1</v>
      </c>
      <c r="C7" s="313">
        <f t="shared" ref="C7:C16" si="1">$B$1*$B$3</f>
        <v>5</v>
      </c>
      <c r="D7" s="313">
        <f t="shared" ref="D7:D17" si="2">C7/((1+$B$2)^B7)</f>
        <v>4.8076923076923075</v>
      </c>
    </row>
    <row r="8" spans="1:4" x14ac:dyDescent="0.3">
      <c r="A8" s="741"/>
      <c r="B8" s="312">
        <f t="shared" si="0"/>
        <v>2</v>
      </c>
      <c r="C8" s="313">
        <f t="shared" si="1"/>
        <v>5</v>
      </c>
      <c r="D8" s="313">
        <f t="shared" si="2"/>
        <v>4.6227810650887573</v>
      </c>
    </row>
    <row r="9" spans="1:4" x14ac:dyDescent="0.3">
      <c r="A9" s="741"/>
      <c r="B9" s="312">
        <f t="shared" si="0"/>
        <v>3</v>
      </c>
      <c r="C9" s="313">
        <f t="shared" si="1"/>
        <v>5</v>
      </c>
      <c r="D9" s="313">
        <f t="shared" si="2"/>
        <v>4.4449817933545743</v>
      </c>
    </row>
    <row r="10" spans="1:4" x14ac:dyDescent="0.3">
      <c r="A10" s="741"/>
      <c r="B10" s="312">
        <f t="shared" si="0"/>
        <v>4</v>
      </c>
      <c r="C10" s="313">
        <f t="shared" si="1"/>
        <v>5</v>
      </c>
      <c r="D10" s="313">
        <f t="shared" si="2"/>
        <v>4.2740209551486288</v>
      </c>
    </row>
    <row r="11" spans="1:4" x14ac:dyDescent="0.3">
      <c r="A11" s="741"/>
      <c r="B11" s="312">
        <f t="shared" si="0"/>
        <v>5</v>
      </c>
      <c r="C11" s="313">
        <f t="shared" si="1"/>
        <v>5</v>
      </c>
      <c r="D11" s="313">
        <f t="shared" si="2"/>
        <v>4.1096355337967578</v>
      </c>
    </row>
    <row r="12" spans="1:4" x14ac:dyDescent="0.3">
      <c r="A12" s="741"/>
      <c r="B12" s="312">
        <f t="shared" si="0"/>
        <v>6</v>
      </c>
      <c r="C12" s="313">
        <f t="shared" si="1"/>
        <v>5</v>
      </c>
      <c r="D12" s="313">
        <f t="shared" si="2"/>
        <v>3.9515726286507284</v>
      </c>
    </row>
    <row r="13" spans="1:4" x14ac:dyDescent="0.3">
      <c r="A13" s="741"/>
      <c r="B13" s="312">
        <f t="shared" si="0"/>
        <v>7</v>
      </c>
      <c r="C13" s="313">
        <f t="shared" si="1"/>
        <v>5</v>
      </c>
      <c r="D13" s="313">
        <f t="shared" si="2"/>
        <v>3.7995890660103164</v>
      </c>
    </row>
    <row r="14" spans="1:4" x14ac:dyDescent="0.3">
      <c r="A14" s="741"/>
      <c r="B14" s="312">
        <f t="shared" si="0"/>
        <v>8</v>
      </c>
      <c r="C14" s="313">
        <f t="shared" si="1"/>
        <v>5</v>
      </c>
      <c r="D14" s="313">
        <f t="shared" si="2"/>
        <v>3.653451025009919</v>
      </c>
    </row>
    <row r="15" spans="1:4" x14ac:dyDescent="0.3">
      <c r="A15" s="741"/>
      <c r="B15" s="312">
        <f t="shared" si="0"/>
        <v>9</v>
      </c>
      <c r="C15" s="313">
        <f t="shared" si="1"/>
        <v>5</v>
      </c>
      <c r="D15" s="313">
        <f t="shared" si="2"/>
        <v>3.5129336778941527</v>
      </c>
    </row>
    <row r="16" spans="1:4" x14ac:dyDescent="0.3">
      <c r="A16" s="742"/>
      <c r="B16" s="312">
        <f t="shared" si="0"/>
        <v>10</v>
      </c>
      <c r="C16" s="313">
        <f t="shared" si="1"/>
        <v>5</v>
      </c>
      <c r="D16" s="313">
        <f t="shared" si="2"/>
        <v>3.3778208441289927</v>
      </c>
    </row>
    <row r="17" spans="1:4" x14ac:dyDescent="0.3">
      <c r="A17" s="312" t="s">
        <v>377</v>
      </c>
      <c r="B17" s="312">
        <v>10</v>
      </c>
      <c r="C17" s="313">
        <f>B1</f>
        <v>100</v>
      </c>
      <c r="D17" s="313">
        <f t="shared" si="2"/>
        <v>67.556416882579853</v>
      </c>
    </row>
    <row r="18" spans="1:4" x14ac:dyDescent="0.3">
      <c r="B18" s="743" t="s">
        <v>378</v>
      </c>
      <c r="C18" s="744"/>
      <c r="D18" s="314">
        <f>SUM(D7:D17)</f>
        <v>108.11089577935499</v>
      </c>
    </row>
  </sheetData>
  <mergeCells count="2">
    <mergeCell ref="A7:A16"/>
    <mergeCell ref="B18:C1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2145A-829F-4742-B5BA-C75D0ECB8C8C}">
  <dimension ref="A1:K19"/>
  <sheetViews>
    <sheetView topLeftCell="A2" workbookViewId="0">
      <selection activeCell="D18" sqref="D18"/>
    </sheetView>
  </sheetViews>
  <sheetFormatPr baseColWidth="10" defaultColWidth="8.77734375" defaultRowHeight="14.4" x14ac:dyDescent="0.3"/>
  <cols>
    <col min="1" max="1" width="29.109375" style="309" bestFit="1" customWidth="1"/>
    <col min="2" max="2" width="17.77734375" style="309" bestFit="1" customWidth="1"/>
    <col min="3" max="3" width="16" style="309" bestFit="1" customWidth="1"/>
    <col min="4" max="4" width="23.77734375" style="309" bestFit="1" customWidth="1"/>
    <col min="5" max="16384" width="8.77734375" style="309"/>
  </cols>
  <sheetData>
    <row r="1" spans="1:11" x14ac:dyDescent="0.3">
      <c r="A1" s="307" t="s">
        <v>370</v>
      </c>
      <c r="B1" s="308">
        <v>100</v>
      </c>
    </row>
    <row r="2" spans="1:11" x14ac:dyDescent="0.3">
      <c r="A2" s="307" t="s">
        <v>371</v>
      </c>
      <c r="B2" s="310">
        <v>0.04</v>
      </c>
      <c r="C2" s="309" t="s">
        <v>372</v>
      </c>
    </row>
    <row r="4" spans="1:11" x14ac:dyDescent="0.3">
      <c r="B4" s="312" t="s">
        <v>78</v>
      </c>
      <c r="C4" s="312" t="s">
        <v>374</v>
      </c>
      <c r="D4" s="312" t="s">
        <v>375</v>
      </c>
    </row>
    <row r="5" spans="1:11" x14ac:dyDescent="0.3">
      <c r="B5" s="312">
        <v>0</v>
      </c>
      <c r="C5" s="312"/>
      <c r="D5" s="312"/>
    </row>
    <row r="6" spans="1:11" x14ac:dyDescent="0.3">
      <c r="A6" s="740" t="s">
        <v>376</v>
      </c>
      <c r="B6" s="312">
        <f t="shared" ref="B6:B14" si="0">B5+1</f>
        <v>1</v>
      </c>
      <c r="C6" s="313"/>
      <c r="D6" s="313">
        <f t="shared" ref="D6:D15" si="1">C6/((1+$B$2)^B6)</f>
        <v>0</v>
      </c>
    </row>
    <row r="7" spans="1:11" x14ac:dyDescent="0.3">
      <c r="A7" s="741"/>
      <c r="B7" s="312">
        <f t="shared" si="0"/>
        <v>2</v>
      </c>
      <c r="C7" s="313"/>
      <c r="D7" s="313">
        <f t="shared" si="1"/>
        <v>0</v>
      </c>
    </row>
    <row r="8" spans="1:11" x14ac:dyDescent="0.3">
      <c r="A8" s="741"/>
      <c r="B8" s="312">
        <f t="shared" si="0"/>
        <v>3</v>
      </c>
      <c r="C8" s="313"/>
      <c r="D8" s="313">
        <f t="shared" si="1"/>
        <v>0</v>
      </c>
    </row>
    <row r="9" spans="1:11" x14ac:dyDescent="0.3">
      <c r="A9" s="741"/>
      <c r="B9" s="312">
        <f t="shared" si="0"/>
        <v>4</v>
      </c>
      <c r="C9" s="313"/>
      <c r="D9" s="313">
        <f t="shared" si="1"/>
        <v>0</v>
      </c>
      <c r="F9" s="745" t="s">
        <v>379</v>
      </c>
      <c r="G9" s="745"/>
      <c r="H9" s="745"/>
    </row>
    <row r="10" spans="1:11" x14ac:dyDescent="0.3">
      <c r="A10" s="741"/>
      <c r="B10" s="312">
        <f t="shared" si="0"/>
        <v>5</v>
      </c>
      <c r="C10" s="313"/>
      <c r="D10" s="313">
        <f t="shared" si="1"/>
        <v>0</v>
      </c>
      <c r="F10" s="315" t="s">
        <v>380</v>
      </c>
      <c r="G10" s="316"/>
      <c r="H10" s="317"/>
    </row>
    <row r="11" spans="1:11" x14ac:dyDescent="0.3">
      <c r="A11" s="741"/>
      <c r="B11" s="312">
        <f t="shared" si="0"/>
        <v>6</v>
      </c>
      <c r="C11" s="313"/>
      <c r="D11" s="313">
        <f t="shared" si="1"/>
        <v>0</v>
      </c>
      <c r="F11" s="318" t="s">
        <v>381</v>
      </c>
      <c r="G11" s="319"/>
      <c r="H11" s="320"/>
    </row>
    <row r="12" spans="1:11" x14ac:dyDescent="0.3">
      <c r="A12" s="741"/>
      <c r="B12" s="312">
        <f t="shared" si="0"/>
        <v>7</v>
      </c>
      <c r="C12" s="313"/>
      <c r="D12" s="313">
        <f t="shared" si="1"/>
        <v>0</v>
      </c>
      <c r="F12" s="321" t="s">
        <v>382</v>
      </c>
      <c r="G12" s="322"/>
      <c r="H12" s="323"/>
    </row>
    <row r="13" spans="1:11" x14ac:dyDescent="0.3">
      <c r="A13" s="741"/>
      <c r="B13" s="312">
        <f t="shared" si="0"/>
        <v>8</v>
      </c>
      <c r="C13" s="313"/>
      <c r="D13" s="313">
        <f t="shared" si="1"/>
        <v>0</v>
      </c>
    </row>
    <row r="14" spans="1:11" x14ac:dyDescent="0.3">
      <c r="A14" s="741"/>
      <c r="B14" s="312">
        <f t="shared" si="0"/>
        <v>9</v>
      </c>
      <c r="C14" s="313"/>
      <c r="D14" s="313">
        <f t="shared" si="1"/>
        <v>0</v>
      </c>
    </row>
    <row r="15" spans="1:11" x14ac:dyDescent="0.3">
      <c r="A15" s="312" t="s">
        <v>383</v>
      </c>
      <c r="B15" s="312">
        <v>10</v>
      </c>
      <c r="C15" s="313">
        <v>100</v>
      </c>
      <c r="D15" s="313">
        <f t="shared" si="1"/>
        <v>67.556416882579853</v>
      </c>
      <c r="F15" s="746" t="s">
        <v>384</v>
      </c>
      <c r="G15" s="747"/>
      <c r="H15" s="747"/>
      <c r="I15" s="747"/>
      <c r="J15" s="747"/>
      <c r="K15" s="748"/>
    </row>
    <row r="16" spans="1:11" x14ac:dyDescent="0.3">
      <c r="B16" s="743" t="s">
        <v>378</v>
      </c>
      <c r="C16" s="744"/>
      <c r="D16" s="314">
        <f>SUM(D6:D15)</f>
        <v>67.556416882579853</v>
      </c>
      <c r="F16" s="315" t="s">
        <v>385</v>
      </c>
      <c r="G16" s="316"/>
      <c r="H16" s="317"/>
      <c r="I16" s="316"/>
      <c r="J16" s="316"/>
      <c r="K16" s="317"/>
    </row>
    <row r="17" spans="6:11" x14ac:dyDescent="0.3">
      <c r="F17" s="318" t="s">
        <v>386</v>
      </c>
      <c r="G17" s="319"/>
      <c r="H17" s="320"/>
      <c r="I17" s="319"/>
      <c r="J17" s="319"/>
      <c r="K17" s="320"/>
    </row>
    <row r="18" spans="6:11" x14ac:dyDescent="0.3">
      <c r="F18" s="315" t="s">
        <v>387</v>
      </c>
      <c r="G18" s="316"/>
      <c r="H18" s="316"/>
      <c r="I18" s="316"/>
      <c r="J18" s="316"/>
      <c r="K18" s="317"/>
    </row>
    <row r="19" spans="6:11" x14ac:dyDescent="0.3">
      <c r="F19" s="318" t="s">
        <v>388</v>
      </c>
      <c r="G19" s="319"/>
      <c r="H19" s="319"/>
      <c r="I19" s="319"/>
      <c r="J19" s="319"/>
      <c r="K19" s="320"/>
    </row>
  </sheetData>
  <mergeCells count="4">
    <mergeCell ref="A6:A14"/>
    <mergeCell ref="F9:H9"/>
    <mergeCell ref="F15:K15"/>
    <mergeCell ref="B16:C1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16FD1-1305-4B05-9C0D-477A61DCE26E}">
  <dimension ref="B1:C5"/>
  <sheetViews>
    <sheetView workbookViewId="0">
      <selection activeCell="C1" sqref="C1"/>
    </sheetView>
  </sheetViews>
  <sheetFormatPr baseColWidth="10" defaultColWidth="8.77734375" defaultRowHeight="14.4" x14ac:dyDescent="0.3"/>
  <cols>
    <col min="1" max="1" width="8.77734375" style="309"/>
    <col min="2" max="2" width="30.109375" style="309" bestFit="1" customWidth="1"/>
    <col min="3" max="3" width="64" style="309" bestFit="1" customWidth="1"/>
    <col min="4" max="16384" width="8.77734375" style="309"/>
  </cols>
  <sheetData>
    <row r="1" spans="2:3" x14ac:dyDescent="0.3">
      <c r="B1" s="312" t="s">
        <v>389</v>
      </c>
      <c r="C1" s="312" t="s">
        <v>390</v>
      </c>
    </row>
    <row r="2" spans="2:3" x14ac:dyDescent="0.3">
      <c r="B2" s="324" t="s">
        <v>391</v>
      </c>
      <c r="C2" s="324" t="s">
        <v>392</v>
      </c>
    </row>
    <row r="3" spans="2:3" x14ac:dyDescent="0.3">
      <c r="B3" s="325" t="s">
        <v>393</v>
      </c>
      <c r="C3" s="325" t="s">
        <v>394</v>
      </c>
    </row>
    <row r="4" spans="2:3" x14ac:dyDescent="0.3">
      <c r="B4" s="325" t="s">
        <v>395</v>
      </c>
      <c r="C4" s="325" t="s">
        <v>396</v>
      </c>
    </row>
    <row r="5" spans="2:3" x14ac:dyDescent="0.3">
      <c r="B5" s="326" t="s">
        <v>397</v>
      </c>
      <c r="C5" s="326" t="s">
        <v>398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36AE-CA6A-4F97-971C-05A1DFD412C9}">
  <dimension ref="A1:M18"/>
  <sheetViews>
    <sheetView topLeftCell="B1" workbookViewId="0">
      <selection activeCell="M13" sqref="M13"/>
    </sheetView>
  </sheetViews>
  <sheetFormatPr baseColWidth="10" defaultColWidth="8.77734375" defaultRowHeight="14.4" x14ac:dyDescent="0.3"/>
  <cols>
    <col min="1" max="1" width="20.77734375" style="309" bestFit="1" customWidth="1"/>
    <col min="2" max="2" width="12.109375" style="309" bestFit="1" customWidth="1"/>
    <col min="3" max="3" width="12.44140625" style="309" bestFit="1" customWidth="1"/>
    <col min="4" max="4" width="13.77734375" style="309" bestFit="1" customWidth="1"/>
    <col min="5" max="6" width="11.109375" style="309" bestFit="1" customWidth="1"/>
    <col min="7" max="7" width="12.109375" style="309" bestFit="1" customWidth="1"/>
    <col min="8" max="8" width="18.109375" style="309" bestFit="1" customWidth="1"/>
    <col min="9" max="9" width="13.21875" style="309" bestFit="1" customWidth="1"/>
    <col min="10" max="16384" width="8.77734375" style="309"/>
  </cols>
  <sheetData>
    <row r="1" spans="1:13" x14ac:dyDescent="0.3">
      <c r="A1" s="307" t="s">
        <v>370</v>
      </c>
      <c r="B1" s="308">
        <v>100</v>
      </c>
    </row>
    <row r="2" spans="1:13" x14ac:dyDescent="0.3">
      <c r="A2" s="307" t="s">
        <v>399</v>
      </c>
      <c r="B2" s="310">
        <v>0.04</v>
      </c>
      <c r="F2" s="746" t="s">
        <v>400</v>
      </c>
      <c r="G2" s="748"/>
      <c r="H2" s="327"/>
    </row>
    <row r="3" spans="1:13" x14ac:dyDescent="0.3">
      <c r="A3" s="307" t="s">
        <v>373</v>
      </c>
      <c r="B3" s="310">
        <v>0.1</v>
      </c>
      <c r="D3" s="312" t="s">
        <v>78</v>
      </c>
      <c r="E3" s="312" t="s">
        <v>401</v>
      </c>
      <c r="F3" s="326" t="s">
        <v>402</v>
      </c>
      <c r="G3" s="326" t="s">
        <v>403</v>
      </c>
      <c r="H3" s="312" t="s">
        <v>404</v>
      </c>
      <c r="I3" s="312" t="s">
        <v>375</v>
      </c>
      <c r="K3" s="746" t="s">
        <v>379</v>
      </c>
      <c r="L3" s="747"/>
      <c r="M3" s="748"/>
    </row>
    <row r="4" spans="1:13" x14ac:dyDescent="0.3">
      <c r="A4" s="307" t="s">
        <v>405</v>
      </c>
      <c r="B4" s="308">
        <v>16.274539488251161</v>
      </c>
      <c r="D4" s="312">
        <v>0</v>
      </c>
      <c r="E4" s="307"/>
      <c r="F4" s="307"/>
      <c r="G4" s="308"/>
      <c r="H4" s="308">
        <f>B1</f>
        <v>100</v>
      </c>
      <c r="I4" s="312"/>
      <c r="K4" s="315" t="s">
        <v>406</v>
      </c>
      <c r="L4" s="316"/>
      <c r="M4" s="317"/>
    </row>
    <row r="5" spans="1:13" x14ac:dyDescent="0.3">
      <c r="D5" s="312">
        <f t="shared" ref="D5:D14" si="0">D4+1</f>
        <v>1</v>
      </c>
      <c r="E5" s="328">
        <f t="shared" ref="E5:E14" si="1">$B$4</f>
        <v>16.274539488251161</v>
      </c>
      <c r="F5" s="328">
        <f t="shared" ref="F5:F14" si="2">H4*$B$3</f>
        <v>10</v>
      </c>
      <c r="G5" s="308">
        <f t="shared" ref="G5:G14" si="3">E5-F5</f>
        <v>6.2745394882511611</v>
      </c>
      <c r="H5" s="308">
        <f t="shared" ref="H5:H14" si="4">H4-G5</f>
        <v>93.725460511748835</v>
      </c>
      <c r="I5" s="313">
        <f t="shared" ref="I5:I14" si="5">E5/((1+$B$2)^D5)</f>
        <v>15.648595661779963</v>
      </c>
      <c r="K5" s="329" t="s">
        <v>407</v>
      </c>
      <c r="M5" s="330"/>
    </row>
    <row r="6" spans="1:13" x14ac:dyDescent="0.3">
      <c r="D6" s="312">
        <f t="shared" si="0"/>
        <v>2</v>
      </c>
      <c r="E6" s="328">
        <f t="shared" si="1"/>
        <v>16.274539488251161</v>
      </c>
      <c r="F6" s="328">
        <f t="shared" si="2"/>
        <v>9.3725460511748846</v>
      </c>
      <c r="G6" s="308">
        <f t="shared" si="3"/>
        <v>6.9019934370762765</v>
      </c>
      <c r="H6" s="308">
        <f t="shared" si="4"/>
        <v>86.823467074672564</v>
      </c>
      <c r="I6" s="313">
        <f t="shared" si="5"/>
        <v>15.046726597865348</v>
      </c>
      <c r="K6" s="318" t="s">
        <v>408</v>
      </c>
      <c r="L6" s="319"/>
      <c r="M6" s="320"/>
    </row>
    <row r="7" spans="1:13" x14ac:dyDescent="0.3">
      <c r="B7" s="331"/>
      <c r="D7" s="312">
        <f t="shared" si="0"/>
        <v>3</v>
      </c>
      <c r="E7" s="328">
        <f t="shared" si="1"/>
        <v>16.274539488251161</v>
      </c>
      <c r="F7" s="328">
        <f t="shared" si="2"/>
        <v>8.6823467074672571</v>
      </c>
      <c r="G7" s="308">
        <f t="shared" si="3"/>
        <v>7.592192780783904</v>
      </c>
      <c r="H7" s="308">
        <f t="shared" si="4"/>
        <v>79.23127429388866</v>
      </c>
      <c r="I7" s="313">
        <f t="shared" si="5"/>
        <v>14.468006344101296</v>
      </c>
    </row>
    <row r="8" spans="1:13" x14ac:dyDescent="0.3">
      <c r="B8" s="331"/>
      <c r="D8" s="312">
        <f t="shared" si="0"/>
        <v>4</v>
      </c>
      <c r="E8" s="328">
        <f t="shared" si="1"/>
        <v>16.274539488251161</v>
      </c>
      <c r="F8" s="328">
        <f t="shared" si="2"/>
        <v>7.9231274293888667</v>
      </c>
      <c r="G8" s="308">
        <f t="shared" si="3"/>
        <v>8.3514120588622944</v>
      </c>
      <c r="H8" s="308">
        <f t="shared" si="4"/>
        <v>70.879862235026366</v>
      </c>
      <c r="I8" s="313">
        <f t="shared" si="5"/>
        <v>13.911544561635861</v>
      </c>
    </row>
    <row r="9" spans="1:13" x14ac:dyDescent="0.3">
      <c r="B9" s="331"/>
      <c r="D9" s="312">
        <f t="shared" si="0"/>
        <v>5</v>
      </c>
      <c r="E9" s="328">
        <f t="shared" si="1"/>
        <v>16.274539488251161</v>
      </c>
      <c r="F9" s="328">
        <f t="shared" si="2"/>
        <v>7.0879862235026367</v>
      </c>
      <c r="G9" s="308">
        <f t="shared" si="3"/>
        <v>9.1865532647485253</v>
      </c>
      <c r="H9" s="308">
        <f t="shared" si="4"/>
        <v>61.69330897027784</v>
      </c>
      <c r="I9" s="313">
        <f t="shared" si="5"/>
        <v>13.376485155419095</v>
      </c>
    </row>
    <row r="10" spans="1:13" x14ac:dyDescent="0.3">
      <c r="B10" s="331"/>
      <c r="D10" s="312">
        <f t="shared" si="0"/>
        <v>6</v>
      </c>
      <c r="E10" s="328">
        <f t="shared" si="1"/>
        <v>16.274539488251161</v>
      </c>
      <c r="F10" s="328">
        <f t="shared" si="2"/>
        <v>6.169330897027784</v>
      </c>
      <c r="G10" s="308">
        <f t="shared" si="3"/>
        <v>10.105208591223377</v>
      </c>
      <c r="H10" s="308">
        <f t="shared" si="4"/>
        <v>51.588100379054467</v>
      </c>
      <c r="I10" s="313">
        <f t="shared" si="5"/>
        <v>12.862004957133745</v>
      </c>
    </row>
    <row r="11" spans="1:13" x14ac:dyDescent="0.3">
      <c r="B11" s="331"/>
      <c r="D11" s="312">
        <f t="shared" si="0"/>
        <v>7</v>
      </c>
      <c r="E11" s="328">
        <f t="shared" si="1"/>
        <v>16.274539488251161</v>
      </c>
      <c r="F11" s="328">
        <f t="shared" si="2"/>
        <v>5.1588100379054467</v>
      </c>
      <c r="G11" s="308">
        <f t="shared" si="3"/>
        <v>11.115729450345714</v>
      </c>
      <c r="H11" s="308">
        <f t="shared" si="4"/>
        <v>40.472370928708756</v>
      </c>
      <c r="I11" s="313">
        <f t="shared" si="5"/>
        <v>12.367312458782449</v>
      </c>
    </row>
    <row r="12" spans="1:13" x14ac:dyDescent="0.3">
      <c r="B12" s="331"/>
      <c r="D12" s="312">
        <f t="shared" si="0"/>
        <v>8</v>
      </c>
      <c r="E12" s="328">
        <f t="shared" si="1"/>
        <v>16.274539488251161</v>
      </c>
      <c r="F12" s="328">
        <f t="shared" si="2"/>
        <v>4.0472370928708754</v>
      </c>
      <c r="G12" s="308">
        <f t="shared" si="3"/>
        <v>12.227302395380285</v>
      </c>
      <c r="H12" s="308">
        <f t="shared" si="4"/>
        <v>28.245068533328471</v>
      </c>
      <c r="I12" s="313">
        <f t="shared" si="5"/>
        <v>11.89164659498312</v>
      </c>
    </row>
    <row r="13" spans="1:13" x14ac:dyDescent="0.3">
      <c r="B13" s="331"/>
      <c r="D13" s="312">
        <f t="shared" si="0"/>
        <v>9</v>
      </c>
      <c r="E13" s="328">
        <f t="shared" si="1"/>
        <v>16.274539488251161</v>
      </c>
      <c r="F13" s="328">
        <f t="shared" si="2"/>
        <v>2.8245068533328475</v>
      </c>
      <c r="G13" s="308">
        <f t="shared" si="3"/>
        <v>13.450032634918314</v>
      </c>
      <c r="H13" s="308">
        <f t="shared" si="4"/>
        <v>14.795035898410157</v>
      </c>
      <c r="I13" s="313">
        <f t="shared" si="5"/>
        <v>11.434275572099153</v>
      </c>
    </row>
    <row r="14" spans="1:13" x14ac:dyDescent="0.3">
      <c r="B14" s="331"/>
      <c r="D14" s="312">
        <f t="shared" si="0"/>
        <v>10</v>
      </c>
      <c r="E14" s="328">
        <f t="shared" si="1"/>
        <v>16.274539488251161</v>
      </c>
      <c r="F14" s="328">
        <f t="shared" si="2"/>
        <v>1.4795035898410158</v>
      </c>
      <c r="G14" s="308">
        <f t="shared" si="3"/>
        <v>14.795035898410145</v>
      </c>
      <c r="H14" s="332">
        <f t="shared" si="4"/>
        <v>0</v>
      </c>
      <c r="I14" s="313">
        <f t="shared" si="5"/>
        <v>10.994495742403032</v>
      </c>
    </row>
    <row r="15" spans="1:13" x14ac:dyDescent="0.3">
      <c r="B15" s="331"/>
      <c r="D15" s="312" t="s">
        <v>409</v>
      </c>
      <c r="E15" s="328">
        <f>SUM(E5:E14)</f>
        <v>162.74539488251159</v>
      </c>
      <c r="I15" s="314">
        <f>SUM(I5:I14)</f>
        <v>132.00109364620306</v>
      </c>
    </row>
    <row r="16" spans="1:13" x14ac:dyDescent="0.3">
      <c r="B16" s="331"/>
    </row>
    <row r="17" spans="2:2" x14ac:dyDescent="0.3">
      <c r="B17" s="331"/>
    </row>
    <row r="18" spans="2:2" x14ac:dyDescent="0.3">
      <c r="B18" s="331"/>
    </row>
  </sheetData>
  <mergeCells count="2">
    <mergeCell ref="F2:G2"/>
    <mergeCell ref="K3:M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DD60-EC8D-4D2E-BD1A-3C356808AE20}">
  <dimension ref="B1:C5"/>
  <sheetViews>
    <sheetView workbookViewId="0">
      <selection activeCell="F10" sqref="F10"/>
    </sheetView>
  </sheetViews>
  <sheetFormatPr baseColWidth="10" defaultColWidth="8.77734375" defaultRowHeight="14.4" x14ac:dyDescent="0.3"/>
  <cols>
    <col min="1" max="1" width="8.77734375" style="309"/>
    <col min="2" max="2" width="31.21875" style="309" bestFit="1" customWidth="1"/>
    <col min="3" max="3" width="76.77734375" style="309" bestFit="1" customWidth="1"/>
    <col min="4" max="16384" width="8.77734375" style="309"/>
  </cols>
  <sheetData>
    <row r="1" spans="2:3" x14ac:dyDescent="0.3">
      <c r="B1" s="312" t="s">
        <v>389</v>
      </c>
      <c r="C1" s="312" t="s">
        <v>410</v>
      </c>
    </row>
    <row r="2" spans="2:3" x14ac:dyDescent="0.3">
      <c r="B2" s="324" t="s">
        <v>391</v>
      </c>
      <c r="C2" s="324" t="s">
        <v>411</v>
      </c>
    </row>
    <row r="3" spans="2:3" x14ac:dyDescent="0.3">
      <c r="B3" s="325" t="s">
        <v>393</v>
      </c>
      <c r="C3" s="325" t="s">
        <v>411</v>
      </c>
    </row>
    <row r="4" spans="2:3" x14ac:dyDescent="0.3">
      <c r="B4" s="325" t="s">
        <v>412</v>
      </c>
      <c r="C4" s="325" t="s">
        <v>411</v>
      </c>
    </row>
    <row r="5" spans="2:3" x14ac:dyDescent="0.3">
      <c r="B5" s="326" t="s">
        <v>397</v>
      </c>
      <c r="C5" s="326" t="s">
        <v>413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38B6-E4BD-4C96-9985-5904173B4005}">
  <dimension ref="A1:L18"/>
  <sheetViews>
    <sheetView topLeftCell="B1" workbookViewId="0">
      <selection activeCell="J17" sqref="J17"/>
    </sheetView>
  </sheetViews>
  <sheetFormatPr baseColWidth="10" defaultColWidth="8.77734375" defaultRowHeight="14.4" x14ac:dyDescent="0.3"/>
  <cols>
    <col min="1" max="1" width="20.77734375" style="309" bestFit="1" customWidth="1"/>
    <col min="2" max="2" width="12.109375" style="309" bestFit="1" customWidth="1"/>
    <col min="3" max="3" width="12.44140625" style="309" bestFit="1" customWidth="1"/>
    <col min="4" max="4" width="13.77734375" style="309" bestFit="1" customWidth="1"/>
    <col min="5" max="5" width="11.109375" style="309" bestFit="1" customWidth="1"/>
    <col min="6" max="6" width="16.77734375" style="309" customWidth="1"/>
    <col min="7" max="7" width="20.33203125" style="309" customWidth="1"/>
    <col min="8" max="8" width="18.109375" style="309" bestFit="1" customWidth="1"/>
    <col min="9" max="9" width="17.21875" style="309" customWidth="1"/>
    <col min="10" max="10" width="19.109375" style="309" customWidth="1"/>
    <col min="11" max="11" width="13.21875" style="309" bestFit="1" customWidth="1"/>
    <col min="12" max="16384" width="8.77734375" style="309"/>
  </cols>
  <sheetData>
    <row r="1" spans="1:12" x14ac:dyDescent="0.3">
      <c r="A1" s="307" t="s">
        <v>370</v>
      </c>
      <c r="B1" s="308">
        <v>100</v>
      </c>
    </row>
    <row r="2" spans="1:12" x14ac:dyDescent="0.3">
      <c r="A2" s="309" t="s">
        <v>415</v>
      </c>
      <c r="B2" s="333">
        <v>0.7</v>
      </c>
      <c r="F2" s="746" t="s">
        <v>414</v>
      </c>
      <c r="G2" s="748"/>
      <c r="H2" s="327"/>
      <c r="I2" s="746" t="s">
        <v>400</v>
      </c>
      <c r="J2" s="748"/>
    </row>
    <row r="3" spans="1:12" x14ac:dyDescent="0.3">
      <c r="A3" s="307" t="s">
        <v>399</v>
      </c>
      <c r="B3" s="310">
        <v>0.05</v>
      </c>
      <c r="D3" s="312" t="s">
        <v>78</v>
      </c>
      <c r="E3" s="312" t="s">
        <v>401</v>
      </c>
      <c r="F3" s="326" t="s">
        <v>402</v>
      </c>
      <c r="G3" s="326" t="s">
        <v>403</v>
      </c>
      <c r="H3" s="312" t="s">
        <v>404</v>
      </c>
      <c r="I3" s="326" t="s">
        <v>402</v>
      </c>
      <c r="J3" s="326" t="s">
        <v>403</v>
      </c>
      <c r="K3" s="312" t="s">
        <v>375</v>
      </c>
    </row>
    <row r="4" spans="1:12" x14ac:dyDescent="0.3">
      <c r="A4" s="307" t="s">
        <v>373</v>
      </c>
      <c r="B4" s="310">
        <v>0.05</v>
      </c>
      <c r="D4" s="312">
        <v>0</v>
      </c>
      <c r="E4" s="307"/>
      <c r="F4" s="307"/>
      <c r="G4" s="308"/>
      <c r="H4" s="308">
        <f>B1</f>
        <v>100</v>
      </c>
      <c r="I4" s="307"/>
      <c r="J4" s="308"/>
      <c r="K4" s="312"/>
    </row>
    <row r="5" spans="1:12" x14ac:dyDescent="0.3">
      <c r="A5" s="307" t="s">
        <v>405</v>
      </c>
      <c r="B5" s="308">
        <v>10.565320247581973</v>
      </c>
      <c r="D5" s="312">
        <f t="shared" ref="D5:D14" si="0">D4+1</f>
        <v>1</v>
      </c>
      <c r="E5" s="328">
        <f t="shared" ref="E5:E14" si="1">$B$5</f>
        <v>10.565320247581973</v>
      </c>
      <c r="F5" s="328">
        <f t="shared" ref="F5:F14" si="2">H4*$B$4</f>
        <v>5</v>
      </c>
      <c r="G5" s="308">
        <f t="shared" ref="G5:G14" si="3">E5-F5</f>
        <v>5.5653202475819725</v>
      </c>
      <c r="H5" s="308">
        <f t="shared" ref="H5:H14" si="4">H4-G5</f>
        <v>94.43467975241802</v>
      </c>
      <c r="I5" s="328">
        <f t="shared" ref="I5:I13" si="5">F5</f>
        <v>5</v>
      </c>
      <c r="J5" s="308">
        <f t="shared" ref="J5:J13" si="6">G5</f>
        <v>5.5653202475819725</v>
      </c>
      <c r="K5" s="313">
        <f t="shared" ref="K5:K13" si="7">E5/((1+$B$3)^D5)</f>
        <v>10.062209759601878</v>
      </c>
      <c r="L5" s="311"/>
    </row>
    <row r="6" spans="1:12" x14ac:dyDescent="0.3">
      <c r="D6" s="312">
        <f t="shared" si="0"/>
        <v>2</v>
      </c>
      <c r="E6" s="328">
        <f t="shared" si="1"/>
        <v>10.565320247581973</v>
      </c>
      <c r="F6" s="328">
        <f t="shared" si="2"/>
        <v>4.721733987620901</v>
      </c>
      <c r="G6" s="308">
        <f t="shared" si="3"/>
        <v>5.8435862599610715</v>
      </c>
      <c r="H6" s="308">
        <f t="shared" si="4"/>
        <v>88.591093492456949</v>
      </c>
      <c r="I6" s="328">
        <f t="shared" si="5"/>
        <v>4.721733987620901</v>
      </c>
      <c r="J6" s="308">
        <f t="shared" si="6"/>
        <v>5.8435862599610715</v>
      </c>
      <c r="K6" s="313">
        <f t="shared" si="7"/>
        <v>9.5830569139065513</v>
      </c>
      <c r="L6" s="311"/>
    </row>
    <row r="7" spans="1:12" x14ac:dyDescent="0.3">
      <c r="B7" s="331"/>
      <c r="D7" s="312">
        <f t="shared" si="0"/>
        <v>3</v>
      </c>
      <c r="E7" s="328">
        <f t="shared" si="1"/>
        <v>10.565320247581973</v>
      </c>
      <c r="F7" s="328">
        <f t="shared" si="2"/>
        <v>4.4295546746228478</v>
      </c>
      <c r="G7" s="308">
        <f t="shared" si="3"/>
        <v>6.1357655729591247</v>
      </c>
      <c r="H7" s="308">
        <f t="shared" si="4"/>
        <v>82.455327919497819</v>
      </c>
      <c r="I7" s="328">
        <f t="shared" si="5"/>
        <v>4.4295546746228478</v>
      </c>
      <c r="J7" s="308">
        <f t="shared" si="6"/>
        <v>6.1357655729591247</v>
      </c>
      <c r="K7" s="313">
        <f t="shared" si="7"/>
        <v>9.1267208703871905</v>
      </c>
      <c r="L7" s="311"/>
    </row>
    <row r="8" spans="1:12" x14ac:dyDescent="0.3">
      <c r="B8" s="331"/>
      <c r="D8" s="312">
        <f t="shared" si="0"/>
        <v>4</v>
      </c>
      <c r="E8" s="328">
        <f t="shared" si="1"/>
        <v>10.565320247581973</v>
      </c>
      <c r="F8" s="328">
        <f t="shared" si="2"/>
        <v>4.1227663959748915</v>
      </c>
      <c r="G8" s="308">
        <f t="shared" si="3"/>
        <v>6.4425538516070811</v>
      </c>
      <c r="H8" s="308">
        <f t="shared" si="4"/>
        <v>76.012774067890732</v>
      </c>
      <c r="I8" s="328">
        <f t="shared" si="5"/>
        <v>4.1227663959748915</v>
      </c>
      <c r="J8" s="308">
        <f t="shared" si="6"/>
        <v>6.4425538516070811</v>
      </c>
      <c r="K8" s="313">
        <f t="shared" si="7"/>
        <v>8.6921151146544684</v>
      </c>
      <c r="L8" s="311"/>
    </row>
    <row r="9" spans="1:12" x14ac:dyDescent="0.3">
      <c r="B9" s="331"/>
      <c r="D9" s="312">
        <f t="shared" si="0"/>
        <v>5</v>
      </c>
      <c r="E9" s="328">
        <f t="shared" si="1"/>
        <v>10.565320247581973</v>
      </c>
      <c r="F9" s="328">
        <f t="shared" si="2"/>
        <v>3.8006387033945366</v>
      </c>
      <c r="G9" s="308">
        <f t="shared" si="3"/>
        <v>6.7646815441874359</v>
      </c>
      <c r="H9" s="308">
        <f t="shared" si="4"/>
        <v>69.248092523703292</v>
      </c>
      <c r="I9" s="328">
        <f t="shared" si="5"/>
        <v>3.8006387033945366</v>
      </c>
      <c r="J9" s="308">
        <f t="shared" si="6"/>
        <v>6.7646815441874359</v>
      </c>
      <c r="K9" s="313">
        <f t="shared" si="7"/>
        <v>8.2782048710994918</v>
      </c>
      <c r="L9" s="311"/>
    </row>
    <row r="10" spans="1:12" x14ac:dyDescent="0.3">
      <c r="B10" s="331"/>
      <c r="D10" s="312">
        <f t="shared" si="0"/>
        <v>6</v>
      </c>
      <c r="E10" s="328">
        <f t="shared" si="1"/>
        <v>10.565320247581973</v>
      </c>
      <c r="F10" s="328">
        <f t="shared" si="2"/>
        <v>3.4624046261851649</v>
      </c>
      <c r="G10" s="308">
        <f t="shared" si="3"/>
        <v>7.1029156213968072</v>
      </c>
      <c r="H10" s="308">
        <f t="shared" si="4"/>
        <v>62.145176902306488</v>
      </c>
      <c r="I10" s="328">
        <f t="shared" si="5"/>
        <v>3.4624046261851649</v>
      </c>
      <c r="J10" s="308">
        <f t="shared" si="6"/>
        <v>7.1029156213968072</v>
      </c>
      <c r="K10" s="313">
        <f t="shared" si="7"/>
        <v>7.8840046391423746</v>
      </c>
      <c r="L10" s="311"/>
    </row>
    <row r="11" spans="1:12" x14ac:dyDescent="0.3">
      <c r="B11" s="331"/>
      <c r="D11" s="312">
        <f t="shared" si="0"/>
        <v>7</v>
      </c>
      <c r="E11" s="328">
        <f t="shared" si="1"/>
        <v>10.565320247581973</v>
      </c>
      <c r="F11" s="328">
        <f t="shared" si="2"/>
        <v>3.1072588451153247</v>
      </c>
      <c r="G11" s="308">
        <f t="shared" si="3"/>
        <v>7.4580614024666474</v>
      </c>
      <c r="H11" s="308">
        <f t="shared" si="4"/>
        <v>54.687115499839841</v>
      </c>
      <c r="I11" s="328">
        <f t="shared" si="5"/>
        <v>3.1072588451153247</v>
      </c>
      <c r="J11" s="308">
        <f t="shared" si="6"/>
        <v>7.4580614024666474</v>
      </c>
      <c r="K11" s="313">
        <f t="shared" si="7"/>
        <v>7.5085758468022608</v>
      </c>
      <c r="L11" s="311"/>
    </row>
    <row r="12" spans="1:12" x14ac:dyDescent="0.3">
      <c r="B12" s="331"/>
      <c r="D12" s="312">
        <f t="shared" si="0"/>
        <v>8</v>
      </c>
      <c r="E12" s="328">
        <f t="shared" si="1"/>
        <v>10.565320247581973</v>
      </c>
      <c r="F12" s="328">
        <f t="shared" si="2"/>
        <v>2.7343557749919922</v>
      </c>
      <c r="G12" s="308">
        <f t="shared" si="3"/>
        <v>7.8309644725899803</v>
      </c>
      <c r="H12" s="308">
        <f t="shared" si="4"/>
        <v>46.856151027249858</v>
      </c>
      <c r="I12" s="328">
        <f t="shared" si="5"/>
        <v>2.7343557749919922</v>
      </c>
      <c r="J12" s="308">
        <f t="shared" si="6"/>
        <v>7.8309644725899803</v>
      </c>
      <c r="K12" s="313">
        <f t="shared" si="7"/>
        <v>7.1510246160021538</v>
      </c>
      <c r="L12" s="311"/>
    </row>
    <row r="13" spans="1:12" x14ac:dyDescent="0.3">
      <c r="B13" s="331"/>
      <c r="D13" s="312">
        <f t="shared" si="0"/>
        <v>9</v>
      </c>
      <c r="E13" s="328">
        <f t="shared" si="1"/>
        <v>10.565320247581973</v>
      </c>
      <c r="F13" s="328">
        <f t="shared" si="2"/>
        <v>2.3428075513624931</v>
      </c>
      <c r="G13" s="308">
        <f t="shared" si="3"/>
        <v>8.2225126962194786</v>
      </c>
      <c r="H13" s="308">
        <f t="shared" si="4"/>
        <v>38.633638331030383</v>
      </c>
      <c r="I13" s="328">
        <f t="shared" si="5"/>
        <v>2.3428075513624931</v>
      </c>
      <c r="J13" s="308">
        <f t="shared" si="6"/>
        <v>8.2225126962194786</v>
      </c>
      <c r="K13" s="313">
        <f t="shared" si="7"/>
        <v>6.8104996342877646</v>
      </c>
      <c r="L13" s="311"/>
    </row>
    <row r="14" spans="1:12" x14ac:dyDescent="0.3">
      <c r="B14" s="331"/>
      <c r="D14" s="312">
        <f t="shared" si="0"/>
        <v>10</v>
      </c>
      <c r="E14" s="328">
        <f t="shared" si="1"/>
        <v>10.565320247581973</v>
      </c>
      <c r="F14" s="328">
        <f t="shared" si="2"/>
        <v>1.9316819165515193</v>
      </c>
      <c r="G14" s="308">
        <f t="shared" si="3"/>
        <v>8.6336383310304541</v>
      </c>
      <c r="H14" s="308">
        <f t="shared" si="4"/>
        <v>29.999999999999929</v>
      </c>
      <c r="I14" s="328">
        <f>F14</f>
        <v>1.9316819165515193</v>
      </c>
      <c r="J14" s="308">
        <f>G14+H14</f>
        <v>38.633638331030383</v>
      </c>
      <c r="K14" s="313">
        <f>(E14+H14)/((1+$B$3)^D14)</f>
        <v>24.903587734115845</v>
      </c>
      <c r="L14" s="311"/>
    </row>
    <row r="15" spans="1:12" x14ac:dyDescent="0.3">
      <c r="B15" s="331"/>
      <c r="D15" s="312" t="s">
        <v>409</v>
      </c>
      <c r="E15" s="328">
        <f>SUM(E5:E14)</f>
        <v>105.65320247581974</v>
      </c>
      <c r="H15" s="328">
        <f>H14-(B1*(1-B2))</f>
        <v>-7.460698725481052E-14</v>
      </c>
      <c r="I15" s="311"/>
      <c r="K15" s="314">
        <f>SUM(K5:K14)</f>
        <v>99.999999999999986</v>
      </c>
    </row>
    <row r="16" spans="1:12" x14ac:dyDescent="0.3">
      <c r="B16" s="331"/>
    </row>
    <row r="17" spans="2:2" x14ac:dyDescent="0.3">
      <c r="B17" s="331"/>
    </row>
    <row r="18" spans="2:2" x14ac:dyDescent="0.3">
      <c r="B18" s="331"/>
    </row>
  </sheetData>
  <mergeCells count="2">
    <mergeCell ref="F2:G2"/>
    <mergeCell ref="I2:J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995E-CF87-4F6C-A581-3D58EC201CF4}">
  <dimension ref="A1:G2"/>
  <sheetViews>
    <sheetView workbookViewId="0">
      <selection activeCell="F2" sqref="F2"/>
    </sheetView>
  </sheetViews>
  <sheetFormatPr baseColWidth="10" defaultColWidth="9.21875" defaultRowHeight="13.2" x14ac:dyDescent="0.25"/>
  <cols>
    <col min="1" max="1" width="9.21875" style="68"/>
    <col min="2" max="2" width="23.5546875" style="68" bestFit="1" customWidth="1"/>
    <col min="3" max="3" width="20.21875" style="68" bestFit="1" customWidth="1"/>
    <col min="4" max="4" width="17" style="68" bestFit="1" customWidth="1"/>
    <col min="5" max="5" width="10.5546875" style="68" customWidth="1"/>
    <col min="6" max="6" width="27.21875" style="68" bestFit="1" customWidth="1"/>
    <col min="7" max="7" width="15.21875" style="68" bestFit="1" customWidth="1"/>
    <col min="8" max="16384" width="9.21875" style="68"/>
  </cols>
  <sheetData>
    <row r="1" spans="1:7" x14ac:dyDescent="0.25">
      <c r="A1" s="69" t="s">
        <v>46</v>
      </c>
      <c r="B1" s="69" t="s">
        <v>41</v>
      </c>
      <c r="C1" s="69" t="s">
        <v>42</v>
      </c>
      <c r="D1" s="69" t="s">
        <v>43</v>
      </c>
      <c r="E1" s="69" t="s">
        <v>44</v>
      </c>
      <c r="F1" s="69" t="s">
        <v>45</v>
      </c>
      <c r="G1" s="20" t="s">
        <v>47</v>
      </c>
    </row>
    <row r="2" spans="1:7" x14ac:dyDescent="0.25">
      <c r="A2" s="69">
        <v>1</v>
      </c>
      <c r="B2" s="124">
        <v>45667</v>
      </c>
      <c r="C2" s="124">
        <v>47371</v>
      </c>
      <c r="D2" s="18">
        <v>0.05</v>
      </c>
      <c r="E2" s="18">
        <v>0.03</v>
      </c>
      <c r="F2" s="19">
        <f>PRICE(B2,C2,D2,E2,100,2,1)</f>
        <v>108.63871030225278</v>
      </c>
      <c r="G2" s="77">
        <f>(C2-B2)/365</f>
        <v>4.6684931506849319</v>
      </c>
    </row>
  </sheetData>
  <pageMargins left="0.75" right="0.75" top="1" bottom="1" header="0.5" footer="0.5"/>
  <pageSetup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A46D-E898-48F5-BB10-A12329F3DB06}">
  <dimension ref="A1:G11"/>
  <sheetViews>
    <sheetView workbookViewId="0">
      <selection activeCell="G2" sqref="G2"/>
    </sheetView>
  </sheetViews>
  <sheetFormatPr baseColWidth="10" defaultColWidth="9.21875" defaultRowHeight="13.2" x14ac:dyDescent="0.25"/>
  <cols>
    <col min="1" max="1" width="9.21875" style="68"/>
    <col min="2" max="2" width="23.5546875" style="68" bestFit="1" customWidth="1"/>
    <col min="3" max="3" width="24.5546875" style="68" bestFit="1" customWidth="1"/>
    <col min="4" max="4" width="17" style="68" bestFit="1" customWidth="1"/>
    <col min="5" max="5" width="10.5546875" style="68" customWidth="1"/>
    <col min="6" max="6" width="27.21875" style="68" bestFit="1" customWidth="1"/>
    <col min="7" max="7" width="15.21875" style="68" bestFit="1" customWidth="1"/>
    <col min="8" max="16384" width="9.21875" style="68"/>
  </cols>
  <sheetData>
    <row r="1" spans="1:7" x14ac:dyDescent="0.25">
      <c r="A1" s="69" t="s">
        <v>46</v>
      </c>
      <c r="B1" s="69" t="s">
        <v>41</v>
      </c>
      <c r="C1" s="69" t="s">
        <v>42</v>
      </c>
      <c r="D1" s="69" t="s">
        <v>43</v>
      </c>
      <c r="E1" s="69" t="s">
        <v>44</v>
      </c>
      <c r="F1" s="69" t="s">
        <v>45</v>
      </c>
      <c r="G1" s="20" t="s">
        <v>47</v>
      </c>
    </row>
    <row r="2" spans="1:7" x14ac:dyDescent="0.25">
      <c r="A2" s="69">
        <v>1</v>
      </c>
      <c r="B2" s="124">
        <v>45667</v>
      </c>
      <c r="C2" s="124">
        <v>45910</v>
      </c>
      <c r="D2" s="18">
        <v>0.03</v>
      </c>
      <c r="E2" s="18">
        <v>0.02</v>
      </c>
      <c r="F2" s="19">
        <f>PRICE(B2,C2,D2,E2,100,2,1)</f>
        <v>100.65371700271548</v>
      </c>
      <c r="G2" s="334">
        <f>(C2-B2)/365</f>
        <v>0.66575342465753429</v>
      </c>
    </row>
    <row r="3" spans="1:7" x14ac:dyDescent="0.25">
      <c r="A3" s="69">
        <v>2</v>
      </c>
      <c r="B3" s="124">
        <v>45668</v>
      </c>
      <c r="C3" s="124">
        <v>46248</v>
      </c>
      <c r="D3" s="18">
        <v>0.05</v>
      </c>
      <c r="E3" s="18">
        <v>2.1000000000000001E-2</v>
      </c>
      <c r="F3" s="19">
        <f t="shared" ref="F3:F11" si="0">PRICE(B3,C3,D3,E3,100,2,1)</f>
        <v>104.51632094103495</v>
      </c>
      <c r="G3" s="334">
        <f t="shared" ref="G3:G11" si="1">(C3-B3)/365</f>
        <v>1.5890410958904109</v>
      </c>
    </row>
    <row r="4" spans="1:7" x14ac:dyDescent="0.25">
      <c r="A4" s="69">
        <v>3</v>
      </c>
      <c r="B4" s="124">
        <v>45669</v>
      </c>
      <c r="C4" s="124">
        <v>46461</v>
      </c>
      <c r="D4" s="18">
        <v>4.8000000000000001E-2</v>
      </c>
      <c r="E4" s="18">
        <v>2.4500000000000001E-2</v>
      </c>
      <c r="F4" s="19">
        <f t="shared" si="0"/>
        <v>104.93645366727476</v>
      </c>
      <c r="G4" s="334">
        <f t="shared" si="1"/>
        <v>2.1698630136986301</v>
      </c>
    </row>
    <row r="5" spans="1:7" x14ac:dyDescent="0.25">
      <c r="A5" s="69">
        <v>4</v>
      </c>
      <c r="B5" s="124">
        <v>45670</v>
      </c>
      <c r="C5" s="124">
        <v>46487</v>
      </c>
      <c r="D5" s="18">
        <v>0.04</v>
      </c>
      <c r="E5" s="18">
        <v>0.03</v>
      </c>
      <c r="F5" s="19">
        <f t="shared" si="0"/>
        <v>102.14620359559012</v>
      </c>
      <c r="G5" s="334">
        <f t="shared" si="1"/>
        <v>2.2383561643835614</v>
      </c>
    </row>
    <row r="6" spans="1:7" x14ac:dyDescent="0.25">
      <c r="A6" s="69">
        <v>5</v>
      </c>
      <c r="B6" s="124">
        <v>45671</v>
      </c>
      <c r="C6" s="124">
        <v>46680</v>
      </c>
      <c r="D6" s="18">
        <v>5.1999999999999998E-2</v>
      </c>
      <c r="E6" s="18">
        <v>3.4000000000000002E-2</v>
      </c>
      <c r="F6" s="19">
        <f t="shared" si="0"/>
        <v>104.70460921697295</v>
      </c>
      <c r="G6" s="334">
        <f t="shared" si="1"/>
        <v>2.7643835616438355</v>
      </c>
    </row>
    <row r="7" spans="1:7" x14ac:dyDescent="0.25">
      <c r="A7" s="69">
        <v>6</v>
      </c>
      <c r="B7" s="124">
        <v>45672</v>
      </c>
      <c r="C7" s="124">
        <v>46714</v>
      </c>
      <c r="D7" s="18">
        <v>0.04</v>
      </c>
      <c r="E7" s="18">
        <v>3.7999999999999999E-2</v>
      </c>
      <c r="F7" s="19">
        <f t="shared" si="0"/>
        <v>100.53216490711574</v>
      </c>
      <c r="G7" s="334">
        <f t="shared" si="1"/>
        <v>2.8547945205479452</v>
      </c>
    </row>
    <row r="8" spans="1:7" x14ac:dyDescent="0.25">
      <c r="A8" s="69">
        <v>7</v>
      </c>
      <c r="B8" s="124">
        <v>45673</v>
      </c>
      <c r="C8" s="124">
        <v>46731</v>
      </c>
      <c r="D8" s="18">
        <v>3.9E-2</v>
      </c>
      <c r="E8" s="18">
        <v>4.2000000000000003E-2</v>
      </c>
      <c r="F8" s="19">
        <f t="shared" si="0"/>
        <v>99.186035491754723</v>
      </c>
      <c r="G8" s="334">
        <f t="shared" si="1"/>
        <v>2.8986301369863012</v>
      </c>
    </row>
    <row r="9" spans="1:7" x14ac:dyDescent="0.25">
      <c r="A9" s="69">
        <v>8</v>
      </c>
      <c r="B9" s="124">
        <v>45674</v>
      </c>
      <c r="C9" s="124">
        <v>46785</v>
      </c>
      <c r="D9" s="18">
        <v>0.06</v>
      </c>
      <c r="E9" s="18">
        <v>4.5999999999999999E-2</v>
      </c>
      <c r="F9" s="19">
        <f t="shared" si="0"/>
        <v>103.931347407799</v>
      </c>
      <c r="G9" s="334">
        <f t="shared" si="1"/>
        <v>3.043835616438356</v>
      </c>
    </row>
    <row r="10" spans="1:7" x14ac:dyDescent="0.25">
      <c r="A10" s="69">
        <v>9</v>
      </c>
      <c r="B10" s="124">
        <v>45675</v>
      </c>
      <c r="C10" s="124">
        <v>47621</v>
      </c>
      <c r="D10" s="18">
        <v>2.5000000000000001E-2</v>
      </c>
      <c r="E10" s="18">
        <v>0.05</v>
      </c>
      <c r="F10" s="19">
        <f t="shared" si="0"/>
        <v>88.42224026141551</v>
      </c>
      <c r="G10" s="334">
        <f t="shared" si="1"/>
        <v>5.3315068493150681</v>
      </c>
    </row>
    <row r="11" spans="1:7" x14ac:dyDescent="0.25">
      <c r="A11" s="69">
        <v>10</v>
      </c>
      <c r="B11" s="124">
        <v>45676</v>
      </c>
      <c r="C11" s="124">
        <v>47735</v>
      </c>
      <c r="D11" s="18">
        <v>4.9000000000000002E-2</v>
      </c>
      <c r="E11" s="18">
        <v>0.06</v>
      </c>
      <c r="F11" s="19">
        <f t="shared" si="0"/>
        <v>94.798331740055715</v>
      </c>
      <c r="G11" s="334">
        <f t="shared" si="1"/>
        <v>5.6410958904109592</v>
      </c>
    </row>
  </sheetData>
  <pageMargins left="0.75" right="0.75" top="1" bottom="1" header="0.5" footer="0.5"/>
  <pageSetup orientation="portrait" r:id="rId1"/>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9C8B-D68B-41DC-B1A6-922534ECDBA5}">
  <dimension ref="A1:J21"/>
  <sheetViews>
    <sheetView workbookViewId="0">
      <selection activeCell="C8" sqref="C8"/>
    </sheetView>
  </sheetViews>
  <sheetFormatPr baseColWidth="10" defaultColWidth="9.21875" defaultRowHeight="13.2" x14ac:dyDescent="0.25"/>
  <cols>
    <col min="1" max="1" width="9.21875" style="68"/>
    <col min="2" max="2" width="23.5546875" style="68" bestFit="1" customWidth="1"/>
    <col min="3" max="3" width="25.21875" style="68" bestFit="1" customWidth="1"/>
    <col min="4" max="4" width="11.21875" style="68" customWidth="1"/>
    <col min="5" max="5" width="21.109375" style="68" customWidth="1"/>
    <col min="6" max="6" width="27.21875" style="68" bestFit="1" customWidth="1"/>
    <col min="7" max="7" width="23.21875" style="68" customWidth="1"/>
    <col min="8" max="8" width="15.77734375" style="68" customWidth="1"/>
    <col min="9" max="9" width="16.44140625" style="68" bestFit="1" customWidth="1"/>
    <col min="10" max="10" width="17.77734375" style="68" bestFit="1" customWidth="1"/>
    <col min="11" max="16384" width="9.21875" style="68"/>
  </cols>
  <sheetData>
    <row r="1" spans="1:10" x14ac:dyDescent="0.25">
      <c r="A1" s="69" t="s">
        <v>46</v>
      </c>
      <c r="B1" s="69" t="s">
        <v>41</v>
      </c>
      <c r="C1" s="69" t="s">
        <v>42</v>
      </c>
      <c r="D1" s="69" t="s">
        <v>43</v>
      </c>
      <c r="E1" s="69" t="s">
        <v>44</v>
      </c>
      <c r="F1" s="69" t="s">
        <v>45</v>
      </c>
      <c r="G1" s="20" t="s">
        <v>47</v>
      </c>
      <c r="H1" s="20" t="s">
        <v>163</v>
      </c>
      <c r="I1" s="77" t="s">
        <v>164</v>
      </c>
      <c r="J1" s="77" t="s">
        <v>165</v>
      </c>
    </row>
    <row r="2" spans="1:10" x14ac:dyDescent="0.25">
      <c r="A2" s="69">
        <v>1</v>
      </c>
      <c r="B2" s="124">
        <v>45667</v>
      </c>
      <c r="C2" s="124">
        <v>47371</v>
      </c>
      <c r="D2" s="18">
        <v>0.05</v>
      </c>
      <c r="E2" s="18">
        <v>0.03</v>
      </c>
      <c r="F2" s="19">
        <f>PRICE(B2,C2,D2,E2,100,1,1)</f>
        <v>108.57201397543587</v>
      </c>
      <c r="G2" s="77">
        <f>(C2-B2)/365</f>
        <v>4.6684931506849319</v>
      </c>
      <c r="H2" s="69">
        <f>DURATION(B2,C2,D2,E2,1,1)</f>
        <v>4.2338138941232444</v>
      </c>
      <c r="I2" s="69">
        <f>MDURATION(B2,C2,D2,E2,1,1)</f>
        <v>4.1104989263332472</v>
      </c>
      <c r="J2" s="69">
        <f>ABS(PRICE(B2,C2,D2,E2+0.0001,100,1,1)-PRICE(B2,C2,D2,E2,100,1,1))*100</f>
        <v>4.5303381201563298</v>
      </c>
    </row>
    <row r="5" spans="1:10" x14ac:dyDescent="0.25">
      <c r="A5" s="749" t="s">
        <v>416</v>
      </c>
      <c r="B5" s="750"/>
      <c r="C5" s="750"/>
      <c r="D5" s="750"/>
      <c r="E5" s="750"/>
      <c r="F5" s="750"/>
      <c r="G5" s="751"/>
    </row>
    <row r="7" spans="1:10" x14ac:dyDescent="0.25">
      <c r="A7" s="69" t="s">
        <v>166</v>
      </c>
      <c r="B7" s="69" t="s">
        <v>167</v>
      </c>
      <c r="C7" s="69" t="s">
        <v>168</v>
      </c>
      <c r="D7" s="69" t="s">
        <v>169</v>
      </c>
      <c r="E7" s="69" t="s">
        <v>170</v>
      </c>
      <c r="F7" s="69" t="s">
        <v>171</v>
      </c>
    </row>
    <row r="8" spans="1:10" x14ac:dyDescent="0.25">
      <c r="A8" s="70"/>
      <c r="B8" s="70"/>
      <c r="C8" s="125">
        <f>EDATE(C9,-4)</f>
        <v>45545</v>
      </c>
      <c r="D8" s="70"/>
      <c r="E8" s="71"/>
      <c r="F8" s="71"/>
    </row>
    <row r="9" spans="1:10" x14ac:dyDescent="0.25">
      <c r="A9" s="80">
        <v>0</v>
      </c>
      <c r="B9" s="80">
        <v>0</v>
      </c>
      <c r="C9" s="126">
        <f>B2</f>
        <v>45667</v>
      </c>
      <c r="D9" s="80"/>
      <c r="E9" s="127"/>
      <c r="F9" s="80"/>
    </row>
    <row r="10" spans="1:10" x14ac:dyDescent="0.25">
      <c r="A10" s="80">
        <v>1</v>
      </c>
      <c r="B10" s="80">
        <f>(C10-C9)/(C10-C8)</f>
        <v>0.66575342465753429</v>
      </c>
      <c r="C10" s="126">
        <f>EDATE(C9,8)</f>
        <v>45910</v>
      </c>
      <c r="D10" s="80">
        <v>5</v>
      </c>
      <c r="E10" s="127">
        <f>D10/((1+$E$2)^(B10))</f>
        <v>4.9025674565336947</v>
      </c>
      <c r="F10" s="80">
        <f t="shared" ref="F10:F14" si="0">E10*B10</f>
        <v>3.2639010738018848</v>
      </c>
    </row>
    <row r="11" spans="1:10" x14ac:dyDescent="0.25">
      <c r="A11" s="80">
        <v>2</v>
      </c>
      <c r="B11" s="80">
        <f t="shared" ref="B11:B14" si="1">B10+1</f>
        <v>1.6657534246575343</v>
      </c>
      <c r="C11" s="126">
        <f t="shared" ref="C11:C14" si="2">EDATE(C10,12)</f>
        <v>46275</v>
      </c>
      <c r="D11" s="80">
        <f t="shared" ref="D11:D13" si="3">D10</f>
        <v>5</v>
      </c>
      <c r="E11" s="127">
        <f t="shared" ref="E11:E14" si="4">D11/((1+$E$2)^(B11))</f>
        <v>4.7597742296443641</v>
      </c>
      <c r="F11" s="80">
        <f t="shared" si="0"/>
        <v>7.9286102236267766</v>
      </c>
    </row>
    <row r="12" spans="1:10" x14ac:dyDescent="0.25">
      <c r="A12" s="80">
        <v>3</v>
      </c>
      <c r="B12" s="80">
        <f t="shared" si="1"/>
        <v>2.6657534246575345</v>
      </c>
      <c r="C12" s="126">
        <f t="shared" si="2"/>
        <v>46640</v>
      </c>
      <c r="D12" s="80">
        <f t="shared" si="3"/>
        <v>5</v>
      </c>
      <c r="E12" s="127">
        <f t="shared" si="4"/>
        <v>4.6211400287809363</v>
      </c>
      <c r="F12" s="80">
        <f t="shared" si="0"/>
        <v>12.318819857544799</v>
      </c>
    </row>
    <row r="13" spans="1:10" x14ac:dyDescent="0.25">
      <c r="A13" s="80">
        <v>4</v>
      </c>
      <c r="B13" s="80">
        <f t="shared" si="1"/>
        <v>3.6657534246575345</v>
      </c>
      <c r="C13" s="126">
        <f t="shared" si="2"/>
        <v>47006</v>
      </c>
      <c r="D13" s="80">
        <f t="shared" si="3"/>
        <v>5</v>
      </c>
      <c r="E13" s="127">
        <f t="shared" si="4"/>
        <v>4.4865437172630447</v>
      </c>
      <c r="F13" s="80">
        <f t="shared" si="0"/>
        <v>16.44656299643275</v>
      </c>
    </row>
    <row r="14" spans="1:10" x14ac:dyDescent="0.25">
      <c r="A14" s="83">
        <v>5</v>
      </c>
      <c r="B14" s="83">
        <f t="shared" si="1"/>
        <v>4.6657534246575345</v>
      </c>
      <c r="C14" s="128">
        <f t="shared" si="2"/>
        <v>47371</v>
      </c>
      <c r="D14" s="83">
        <v>105</v>
      </c>
      <c r="E14" s="127">
        <f t="shared" si="4"/>
        <v>91.473221419926162</v>
      </c>
      <c r="F14" s="80">
        <f t="shared" si="0"/>
        <v>426.79149610447746</v>
      </c>
    </row>
    <row r="15" spans="1:10" x14ac:dyDescent="0.25">
      <c r="B15" s="130"/>
      <c r="E15" s="131">
        <f>SUM(E9:E14)</f>
        <v>110.2432468521482</v>
      </c>
      <c r="F15" s="131">
        <f>SUM(F9:F14)</f>
        <v>466.74939025588367</v>
      </c>
      <c r="G15" s="132">
        <f>F15/E15</f>
        <v>4.2338138941232444</v>
      </c>
    </row>
    <row r="17" spans="1:7" x14ac:dyDescent="0.25">
      <c r="A17" s="133" t="s">
        <v>172</v>
      </c>
      <c r="B17" s="86">
        <f>G15</f>
        <v>4.2338138941232444</v>
      </c>
      <c r="C17" s="86" t="s">
        <v>417</v>
      </c>
      <c r="D17" s="335"/>
      <c r="E17" s="42"/>
      <c r="F17" s="336"/>
      <c r="G17" s="42"/>
    </row>
    <row r="18" spans="1:7" x14ac:dyDescent="0.25">
      <c r="B18" s="130"/>
      <c r="D18" s="87"/>
      <c r="F18" s="134"/>
    </row>
    <row r="19" spans="1:7" x14ac:dyDescent="0.25">
      <c r="A19" s="86" t="s">
        <v>173</v>
      </c>
      <c r="B19" s="86"/>
      <c r="C19" s="86">
        <f>H2/(1+E2)</f>
        <v>4.1104989263332472</v>
      </c>
      <c r="D19" s="135"/>
    </row>
    <row r="21" spans="1:7" x14ac:dyDescent="0.25">
      <c r="A21" s="86" t="s">
        <v>174</v>
      </c>
      <c r="B21" s="86"/>
      <c r="C21" s="86"/>
      <c r="D21" s="86"/>
      <c r="E21" s="136">
        <f>C19*E15*0.01</f>
        <v>4.5315474782124632</v>
      </c>
      <c r="F21" s="108"/>
    </row>
  </sheetData>
  <mergeCells count="1">
    <mergeCell ref="A5:G5"/>
  </mergeCells>
  <pageMargins left="0.75" right="0.75" top="1" bottom="1" header="0.5" footer="0.5"/>
  <pageSetup orientation="portrait" r:id="rId1"/>
  <headerFooter alignWithMargins="0"/>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193C-BE53-4ECC-9F46-F42489C9D7CD}">
  <dimension ref="A1:I81"/>
  <sheetViews>
    <sheetView topLeftCell="A10" workbookViewId="0">
      <selection activeCell="E18" sqref="E18"/>
    </sheetView>
  </sheetViews>
  <sheetFormatPr baseColWidth="10" defaultColWidth="9.21875" defaultRowHeight="13.2" x14ac:dyDescent="0.25"/>
  <cols>
    <col min="1" max="1" width="9.21875" style="68"/>
    <col min="2" max="2" width="23.5546875" style="68" bestFit="1" customWidth="1"/>
    <col min="3" max="3" width="20.21875" style="68" bestFit="1" customWidth="1"/>
    <col min="4" max="4" width="17" style="68" bestFit="1" customWidth="1"/>
    <col min="5" max="5" width="26.6640625" style="68" bestFit="1" customWidth="1"/>
    <col min="6" max="6" width="27.21875" style="68" bestFit="1" customWidth="1"/>
    <col min="7" max="7" width="15.21875" style="68" bestFit="1" customWidth="1"/>
    <col min="8" max="8" width="27.5546875" style="68" bestFit="1" customWidth="1"/>
    <col min="9" max="9" width="16.44140625" style="68" bestFit="1" customWidth="1"/>
    <col min="10" max="10" width="17.77734375" style="68" bestFit="1" customWidth="1"/>
    <col min="11" max="16384" width="9.21875" style="68"/>
  </cols>
  <sheetData>
    <row r="1" spans="1:9" x14ac:dyDescent="0.25">
      <c r="A1" s="69" t="s">
        <v>46</v>
      </c>
      <c r="B1" s="69" t="s">
        <v>41</v>
      </c>
      <c r="C1" s="69" t="s">
        <v>42</v>
      </c>
      <c r="D1" s="69" t="s">
        <v>43</v>
      </c>
      <c r="E1" s="69" t="s">
        <v>44</v>
      </c>
      <c r="F1" s="137"/>
      <c r="G1" s="604"/>
      <c r="H1" s="604"/>
    </row>
    <row r="2" spans="1:9" x14ac:dyDescent="0.25">
      <c r="A2" s="69">
        <v>1</v>
      </c>
      <c r="B2" s="124">
        <v>43554</v>
      </c>
      <c r="C2" s="124">
        <v>55089</v>
      </c>
      <c r="D2" s="18">
        <v>0.08</v>
      </c>
      <c r="E2" s="18">
        <v>0.06</v>
      </c>
      <c r="H2" s="137"/>
      <c r="I2" s="137"/>
    </row>
    <row r="4" spans="1:9" x14ac:dyDescent="0.25">
      <c r="C4" s="69" t="s">
        <v>166</v>
      </c>
      <c r="D4" s="69" t="s">
        <v>167</v>
      </c>
      <c r="E4" s="69" t="s">
        <v>168</v>
      </c>
      <c r="F4" s="69" t="s">
        <v>169</v>
      </c>
      <c r="G4" s="69" t="s">
        <v>663</v>
      </c>
      <c r="H4" s="69" t="s">
        <v>664</v>
      </c>
    </row>
    <row r="5" spans="1:9" x14ac:dyDescent="0.25">
      <c r="A5" s="68" t="s">
        <v>665</v>
      </c>
      <c r="C5" s="70"/>
      <c r="D5" s="70"/>
      <c r="E5" s="125">
        <f>B2</f>
        <v>43554</v>
      </c>
      <c r="F5" s="70"/>
      <c r="G5" s="71"/>
      <c r="H5" s="71"/>
    </row>
    <row r="6" spans="1:9" x14ac:dyDescent="0.25">
      <c r="C6" s="80">
        <v>0</v>
      </c>
      <c r="D6" s="80">
        <f>(E6-E5)/(E6-EDATE(E6,-6))</f>
        <v>0.15934065934065933</v>
      </c>
      <c r="E6" s="126">
        <f>DATE(2019,4,28)</f>
        <v>43583</v>
      </c>
      <c r="F6" s="80">
        <f>$D$2*100/2</f>
        <v>4</v>
      </c>
      <c r="G6" s="127">
        <f>F6/((1+$E$2/2)^(C6+$D$6))</f>
        <v>3.9812046209482044</v>
      </c>
      <c r="H6" s="80">
        <f>G6*D6/$G$70</f>
        <v>4.8228170971870137E-3</v>
      </c>
    </row>
    <row r="7" spans="1:9" x14ac:dyDescent="0.25">
      <c r="C7" s="80">
        <v>1</v>
      </c>
      <c r="D7" s="80">
        <f>D6+0.5</f>
        <v>0.65934065934065933</v>
      </c>
      <c r="E7" s="126">
        <f t="shared" ref="E7:E68" si="0">EDATE(E6,6)</f>
        <v>43766</v>
      </c>
      <c r="F7" s="80">
        <f t="shared" ref="F7:F68" si="1">$D$2*100/2</f>
        <v>4</v>
      </c>
      <c r="G7" s="127">
        <f t="shared" ref="G7:G69" si="2">F7/((1+$E$2/2)^(C7+$D$6))</f>
        <v>3.8652472048040818</v>
      </c>
      <c r="H7" s="80">
        <f t="shared" ref="H7:H69" si="3">G7*D7/$G$70</f>
        <v>1.9375227708819609E-2</v>
      </c>
    </row>
    <row r="8" spans="1:9" x14ac:dyDescent="0.25">
      <c r="C8" s="80">
        <v>2</v>
      </c>
      <c r="D8" s="80">
        <f t="shared" ref="D8:D69" si="4">D7+0.5</f>
        <v>1.1593406593406592</v>
      </c>
      <c r="E8" s="126">
        <f t="shared" si="0"/>
        <v>43949</v>
      </c>
      <c r="F8" s="80">
        <f t="shared" si="1"/>
        <v>4</v>
      </c>
      <c r="G8" s="127">
        <f t="shared" si="2"/>
        <v>3.7526671891301766</v>
      </c>
      <c r="H8" s="80">
        <f t="shared" si="3"/>
        <v>3.3075833710039942E-2</v>
      </c>
    </row>
    <row r="9" spans="1:9" x14ac:dyDescent="0.25">
      <c r="C9" s="80">
        <v>3</v>
      </c>
      <c r="D9" s="80">
        <f t="shared" si="4"/>
        <v>1.6593406593406592</v>
      </c>
      <c r="E9" s="126">
        <f t="shared" si="0"/>
        <v>44132</v>
      </c>
      <c r="F9" s="80">
        <f t="shared" si="1"/>
        <v>4</v>
      </c>
      <c r="G9" s="127">
        <f t="shared" si="2"/>
        <v>3.6433662030390064</v>
      </c>
      <c r="H9" s="80">
        <f t="shared" si="3"/>
        <v>4.5961909448451951E-2</v>
      </c>
    </row>
    <row r="10" spans="1:9" x14ac:dyDescent="0.25">
      <c r="C10" s="80">
        <v>4</v>
      </c>
      <c r="D10" s="80">
        <f t="shared" si="4"/>
        <v>2.1593406593406592</v>
      </c>
      <c r="E10" s="126">
        <f t="shared" si="0"/>
        <v>44314</v>
      </c>
      <c r="F10" s="80">
        <f t="shared" si="1"/>
        <v>4</v>
      </c>
      <c r="G10" s="127">
        <f t="shared" si="2"/>
        <v>3.5372487408145687</v>
      </c>
      <c r="H10" s="80">
        <f t="shared" si="3"/>
        <v>5.8069280567226947E-2</v>
      </c>
    </row>
    <row r="11" spans="1:9" x14ac:dyDescent="0.25">
      <c r="C11" s="80">
        <v>5</v>
      </c>
      <c r="D11" s="80">
        <f t="shared" si="4"/>
        <v>2.6593406593406592</v>
      </c>
      <c r="E11" s="126">
        <f t="shared" si="0"/>
        <v>44497</v>
      </c>
      <c r="F11" s="80">
        <f t="shared" si="1"/>
        <v>4</v>
      </c>
      <c r="G11" s="127">
        <f t="shared" si="2"/>
        <v>3.4342220784607469</v>
      </c>
      <c r="H11" s="80">
        <f t="shared" si="3"/>
        <v>6.9432376774470339E-2</v>
      </c>
    </row>
    <row r="12" spans="1:9" x14ac:dyDescent="0.25">
      <c r="C12" s="80">
        <v>6</v>
      </c>
      <c r="D12" s="80">
        <f t="shared" si="4"/>
        <v>3.1593406593406592</v>
      </c>
      <c r="E12" s="126">
        <f t="shared" si="0"/>
        <v>44679</v>
      </c>
      <c r="F12" s="80">
        <f t="shared" si="1"/>
        <v>4</v>
      </c>
      <c r="G12" s="127">
        <f t="shared" si="2"/>
        <v>3.3341961926803365</v>
      </c>
      <c r="H12" s="80">
        <f t="shared" si="3"/>
        <v>8.0084282767633089E-2</v>
      </c>
    </row>
    <row r="13" spans="1:9" x14ac:dyDescent="0.25">
      <c r="C13" s="80">
        <v>7</v>
      </c>
      <c r="D13" s="80">
        <f t="shared" si="4"/>
        <v>3.6593406593406592</v>
      </c>
      <c r="E13" s="126">
        <f t="shared" si="0"/>
        <v>44862</v>
      </c>
      <c r="F13" s="80">
        <f t="shared" si="1"/>
        <v>4</v>
      </c>
      <c r="G13" s="127">
        <f t="shared" si="2"/>
        <v>3.2370836822139184</v>
      </c>
      <c r="H13" s="80">
        <f t="shared" si="3"/>
        <v>9.0056787375675171E-2</v>
      </c>
    </row>
    <row r="14" spans="1:9" x14ac:dyDescent="0.25">
      <c r="C14" s="80">
        <v>8</v>
      </c>
      <c r="D14" s="80">
        <f t="shared" si="4"/>
        <v>4.1593406593406588</v>
      </c>
      <c r="E14" s="126">
        <f t="shared" si="0"/>
        <v>45044</v>
      </c>
      <c r="F14" s="80">
        <f t="shared" si="1"/>
        <v>4</v>
      </c>
      <c r="G14" s="127">
        <f t="shared" si="2"/>
        <v>3.1427996914698237</v>
      </c>
      <c r="H14" s="80">
        <f t="shared" si="3"/>
        <v>9.9380430979600143E-2</v>
      </c>
    </row>
    <row r="15" spans="1:9" x14ac:dyDescent="0.25">
      <c r="C15" s="80">
        <v>9</v>
      </c>
      <c r="D15" s="80">
        <f t="shared" si="4"/>
        <v>4.6593406593406588</v>
      </c>
      <c r="E15" s="126">
        <f t="shared" si="0"/>
        <v>45227</v>
      </c>
      <c r="F15" s="80">
        <f t="shared" si="1"/>
        <v>4</v>
      </c>
      <c r="G15" s="127">
        <f t="shared" si="2"/>
        <v>3.0512618363784698</v>
      </c>
      <c r="H15" s="80">
        <f t="shared" si="3"/>
        <v>0.10808455126996053</v>
      </c>
    </row>
    <row r="16" spans="1:9" x14ac:dyDescent="0.25">
      <c r="C16" s="80">
        <v>10</v>
      </c>
      <c r="D16" s="80">
        <f t="shared" si="4"/>
        <v>5.1593406593406588</v>
      </c>
      <c r="E16" s="126">
        <f t="shared" si="0"/>
        <v>45410</v>
      </c>
      <c r="F16" s="80">
        <f t="shared" si="1"/>
        <v>4</v>
      </c>
      <c r="G16" s="127">
        <f t="shared" si="2"/>
        <v>2.9623901324062811</v>
      </c>
      <c r="H16" s="80">
        <f t="shared" si="3"/>
        <v>0.11619732739798146</v>
      </c>
    </row>
    <row r="17" spans="3:8" x14ac:dyDescent="0.25">
      <c r="C17" s="80">
        <v>11</v>
      </c>
      <c r="D17" s="80">
        <f t="shared" si="4"/>
        <v>5.6593406593406588</v>
      </c>
      <c r="E17" s="126">
        <f t="shared" si="0"/>
        <v>45593</v>
      </c>
      <c r="F17" s="80">
        <f t="shared" si="1"/>
        <v>4</v>
      </c>
      <c r="G17" s="127">
        <f t="shared" si="2"/>
        <v>2.8761069246662925</v>
      </c>
      <c r="H17" s="80">
        <f t="shared" si="3"/>
        <v>0.12374582257506013</v>
      </c>
    </row>
    <row r="18" spans="3:8" x14ac:dyDescent="0.25">
      <c r="C18" s="80">
        <v>12</v>
      </c>
      <c r="D18" s="80">
        <f t="shared" si="4"/>
        <v>6.1593406593406588</v>
      </c>
      <c r="E18" s="126">
        <f t="shared" si="0"/>
        <v>45775</v>
      </c>
      <c r="F18" s="80">
        <f t="shared" si="1"/>
        <v>4</v>
      </c>
      <c r="G18" s="127">
        <f t="shared" si="2"/>
        <v>2.7923368200643615</v>
      </c>
      <c r="H18" s="80">
        <f t="shared" si="3"/>
        <v>0.13075602517357188</v>
      </c>
    </row>
    <row r="19" spans="3:8" x14ac:dyDescent="0.25">
      <c r="C19" s="80">
        <v>13</v>
      </c>
      <c r="D19" s="80">
        <f t="shared" si="4"/>
        <v>6.6593406593406588</v>
      </c>
      <c r="E19" s="126">
        <f t="shared" si="0"/>
        <v>45958</v>
      </c>
      <c r="F19" s="80">
        <f t="shared" si="1"/>
        <v>4</v>
      </c>
      <c r="G19" s="127">
        <f t="shared" si="2"/>
        <v>2.7110066214217103</v>
      </c>
      <c r="H19" s="80">
        <f t="shared" si="3"/>
        <v>0.13725288838014699</v>
      </c>
    </row>
    <row r="20" spans="3:8" x14ac:dyDescent="0.25">
      <c r="C20" s="80">
        <v>14</v>
      </c>
      <c r="D20" s="80">
        <f t="shared" si="4"/>
        <v>7.1593406593406588</v>
      </c>
      <c r="E20" s="126">
        <f t="shared" si="0"/>
        <v>46140</v>
      </c>
      <c r="F20" s="80">
        <f t="shared" si="1"/>
        <v>4</v>
      </c>
      <c r="G20" s="127">
        <f t="shared" si="2"/>
        <v>2.6320452635162233</v>
      </c>
      <c r="H20" s="80">
        <f t="shared" si="3"/>
        <v>0.14326036845087273</v>
      </c>
    </row>
    <row r="21" spans="3:8" x14ac:dyDescent="0.25">
      <c r="C21" s="80">
        <v>15</v>
      </c>
      <c r="D21" s="80">
        <f t="shared" si="4"/>
        <v>7.6593406593406588</v>
      </c>
      <c r="E21" s="126">
        <f t="shared" si="0"/>
        <v>46323</v>
      </c>
      <c r="F21" s="80">
        <f t="shared" si="1"/>
        <v>4</v>
      </c>
      <c r="G21" s="127">
        <f t="shared" si="2"/>
        <v>2.5553837509866244</v>
      </c>
      <c r="H21" s="80">
        <f t="shared" si="3"/>
        <v>0.1488014616162229</v>
      </c>
    </row>
    <row r="22" spans="3:8" x14ac:dyDescent="0.25">
      <c r="C22" s="80">
        <v>16</v>
      </c>
      <c r="D22" s="80">
        <f t="shared" si="4"/>
        <v>8.1593406593406588</v>
      </c>
      <c r="E22" s="126">
        <f t="shared" si="0"/>
        <v>46505</v>
      </c>
      <c r="F22" s="80">
        <f t="shared" si="1"/>
        <v>4</v>
      </c>
      <c r="G22" s="127">
        <f t="shared" si="2"/>
        <v>2.4809550980452664</v>
      </c>
      <c r="H22" s="80">
        <f t="shared" si="3"/>
        <v>0.15389823968191765</v>
      </c>
    </row>
    <row r="23" spans="3:8" x14ac:dyDescent="0.25">
      <c r="C23" s="80">
        <v>17</v>
      </c>
      <c r="D23" s="80">
        <f t="shared" si="4"/>
        <v>8.6593406593406588</v>
      </c>
      <c r="E23" s="126">
        <f t="shared" si="0"/>
        <v>46688</v>
      </c>
      <c r="F23" s="80">
        <f t="shared" si="1"/>
        <v>4</v>
      </c>
      <c r="G23" s="127">
        <f t="shared" si="2"/>
        <v>2.4086942699468605</v>
      </c>
      <c r="H23" s="80">
        <f t="shared" si="3"/>
        <v>0.15857188437037184</v>
      </c>
    </row>
    <row r="24" spans="3:8" x14ac:dyDescent="0.25">
      <c r="C24" s="80">
        <v>18</v>
      </c>
      <c r="D24" s="80">
        <f t="shared" si="4"/>
        <v>9.1593406593406588</v>
      </c>
      <c r="E24" s="126">
        <f t="shared" si="0"/>
        <v>46871</v>
      </c>
      <c r="F24" s="80">
        <f t="shared" si="1"/>
        <v>4</v>
      </c>
      <c r="G24" s="127">
        <f t="shared" si="2"/>
        <v>2.3385381261620006</v>
      </c>
      <c r="H24" s="80">
        <f t="shared" si="3"/>
        <v>0.1628427204458934</v>
      </c>
    </row>
    <row r="25" spans="3:8" x14ac:dyDescent="0.25">
      <c r="C25" s="80">
        <v>19</v>
      </c>
      <c r="D25" s="80">
        <f t="shared" si="4"/>
        <v>9.6593406593406588</v>
      </c>
      <c r="E25" s="126">
        <f t="shared" si="0"/>
        <v>47054</v>
      </c>
      <c r="F25" s="80">
        <f t="shared" si="1"/>
        <v>4</v>
      </c>
      <c r="G25" s="127">
        <f t="shared" si="2"/>
        <v>2.2704253652058255</v>
      </c>
      <c r="H25" s="80">
        <f t="shared" si="3"/>
        <v>0.16673024766534883</v>
      </c>
    </row>
    <row r="26" spans="3:8" x14ac:dyDescent="0.25">
      <c r="C26" s="80">
        <v>20</v>
      </c>
      <c r="D26" s="80">
        <f t="shared" si="4"/>
        <v>10.159340659340659</v>
      </c>
      <c r="E26" s="126">
        <f t="shared" si="0"/>
        <v>47236</v>
      </c>
      <c r="F26" s="80">
        <f t="shared" si="1"/>
        <v>4</v>
      </c>
      <c r="G26" s="127">
        <f t="shared" si="2"/>
        <v>2.2042964710736168</v>
      </c>
      <c r="H26" s="80">
        <f t="shared" si="3"/>
        <v>0.17025317159461323</v>
      </c>
    </row>
    <row r="27" spans="3:8" x14ac:dyDescent="0.25">
      <c r="C27" s="80">
        <v>21</v>
      </c>
      <c r="D27" s="80">
        <f t="shared" si="4"/>
        <v>10.659340659340659</v>
      </c>
      <c r="E27" s="126">
        <f t="shared" si="0"/>
        <v>47419</v>
      </c>
      <c r="F27" s="80">
        <f t="shared" si="1"/>
        <v>4</v>
      </c>
      <c r="G27" s="127">
        <f t="shared" si="2"/>
        <v>2.1400936612365213</v>
      </c>
      <c r="H27" s="80">
        <f t="shared" si="3"/>
        <v>0.17342943332977137</v>
      </c>
    </row>
    <row r="28" spans="3:8" x14ac:dyDescent="0.25">
      <c r="C28" s="80">
        <v>22</v>
      </c>
      <c r="D28" s="80">
        <f t="shared" si="4"/>
        <v>11.159340659340659</v>
      </c>
      <c r="E28" s="126">
        <f t="shared" si="0"/>
        <v>47601</v>
      </c>
      <c r="F28" s="80">
        <f t="shared" si="1"/>
        <v>4</v>
      </c>
      <c r="G28" s="127">
        <f t="shared" si="2"/>
        <v>2.0777608361519624</v>
      </c>
      <c r="H28" s="80">
        <f t="shared" si="3"/>
        <v>0.17627623816072749</v>
      </c>
    </row>
    <row r="29" spans="3:8" x14ac:dyDescent="0.25">
      <c r="C29" s="80">
        <v>23</v>
      </c>
      <c r="D29" s="80">
        <f t="shared" si="4"/>
        <v>11.659340659340659</v>
      </c>
      <c r="E29" s="126">
        <f t="shared" si="0"/>
        <v>47784</v>
      </c>
      <c r="F29" s="80">
        <f t="shared" si="1"/>
        <v>4</v>
      </c>
      <c r="G29" s="127">
        <f t="shared" si="2"/>
        <v>2.0172435302446239</v>
      </c>
      <c r="H29" s="80">
        <f t="shared" si="3"/>
        <v>0.17881008321361794</v>
      </c>
    </row>
    <row r="30" spans="3:8" x14ac:dyDescent="0.25">
      <c r="C30" s="80">
        <v>24</v>
      </c>
      <c r="D30" s="80">
        <f t="shared" si="4"/>
        <v>12.159340659340659</v>
      </c>
      <c r="E30" s="126">
        <f t="shared" si="0"/>
        <v>47966</v>
      </c>
      <c r="F30" s="80">
        <f t="shared" si="1"/>
        <v>4</v>
      </c>
      <c r="G30" s="127">
        <f t="shared" si="2"/>
        <v>1.9584888643151683</v>
      </c>
      <c r="H30" s="80">
        <f t="shared" si="3"/>
        <v>0.18104678410719707</v>
      </c>
    </row>
    <row r="31" spans="3:8" x14ac:dyDescent="0.25">
      <c r="C31" s="80">
        <v>25</v>
      </c>
      <c r="D31" s="80">
        <f t="shared" si="4"/>
        <v>12.659340659340659</v>
      </c>
      <c r="E31" s="126">
        <f t="shared" si="0"/>
        <v>48149</v>
      </c>
      <c r="F31" s="80">
        <f t="shared" si="1"/>
        <v>4</v>
      </c>
      <c r="G31" s="127">
        <f t="shared" si="2"/>
        <v>1.9014454993351151</v>
      </c>
      <c r="H31" s="80">
        <f t="shared" si="3"/>
        <v>0.18300150065718551</v>
      </c>
    </row>
    <row r="32" spans="3:8" x14ac:dyDescent="0.25">
      <c r="C32" s="80">
        <v>26</v>
      </c>
      <c r="D32" s="80">
        <f t="shared" si="4"/>
        <v>13.159340659340659</v>
      </c>
      <c r="E32" s="126">
        <f t="shared" si="0"/>
        <v>48332</v>
      </c>
      <c r="F32" s="80">
        <f t="shared" si="1"/>
        <v>4</v>
      </c>
      <c r="G32" s="127">
        <f t="shared" si="2"/>
        <v>1.8460635915874903</v>
      </c>
      <c r="H32" s="80">
        <f t="shared" si="3"/>
        <v>0.18468876166142434</v>
      </c>
    </row>
    <row r="33" spans="3:8" x14ac:dyDescent="0.25">
      <c r="C33" s="80">
        <v>27</v>
      </c>
      <c r="D33" s="80">
        <f t="shared" si="4"/>
        <v>13.659340659340659</v>
      </c>
      <c r="E33" s="126">
        <f t="shared" si="0"/>
        <v>48515</v>
      </c>
      <c r="F33" s="80">
        <f t="shared" si="1"/>
        <v>4</v>
      </c>
      <c r="G33" s="127">
        <f t="shared" si="2"/>
        <v>1.7922947491140682</v>
      </c>
      <c r="H33" s="80">
        <f t="shared" si="3"/>
        <v>0.1861224887975762</v>
      </c>
    </row>
    <row r="34" spans="3:8" x14ac:dyDescent="0.25">
      <c r="C34" s="80">
        <v>28</v>
      </c>
      <c r="D34" s="80">
        <f t="shared" si="4"/>
        <v>14.159340659340659</v>
      </c>
      <c r="E34" s="126">
        <f t="shared" si="0"/>
        <v>48697</v>
      </c>
      <c r="F34" s="80">
        <f t="shared" si="1"/>
        <v>4</v>
      </c>
      <c r="G34" s="127">
        <f t="shared" si="2"/>
        <v>1.740091989431134</v>
      </c>
      <c r="H34" s="80">
        <f t="shared" si="3"/>
        <v>0.18731601966404246</v>
      </c>
    </row>
    <row r="35" spans="3:8" x14ac:dyDescent="0.25">
      <c r="C35" s="80">
        <v>29</v>
      </c>
      <c r="D35" s="80">
        <f t="shared" si="4"/>
        <v>14.659340659340659</v>
      </c>
      <c r="E35" s="126">
        <f t="shared" si="0"/>
        <v>48880</v>
      </c>
      <c r="F35" s="80">
        <f t="shared" si="1"/>
        <v>4</v>
      </c>
      <c r="G35" s="127">
        <f t="shared" si="2"/>
        <v>1.6894096984768292</v>
      </c>
      <c r="H35" s="80">
        <f t="shared" si="3"/>
        <v>0.18828212999373295</v>
      </c>
    </row>
    <row r="36" spans="3:8" x14ac:dyDescent="0.25">
      <c r="C36" s="80">
        <v>30</v>
      </c>
      <c r="D36" s="80">
        <f t="shared" si="4"/>
        <v>15.159340659340659</v>
      </c>
      <c r="E36" s="126">
        <f t="shared" si="0"/>
        <v>49062</v>
      </c>
      <c r="F36" s="80">
        <f t="shared" si="1"/>
        <v>4</v>
      </c>
      <c r="G36" s="127">
        <f t="shared" si="2"/>
        <v>1.640203590754203</v>
      </c>
      <c r="H36" s="80">
        <f t="shared" si="3"/>
        <v>0.18903305506932547</v>
      </c>
    </row>
    <row r="37" spans="3:8" x14ac:dyDescent="0.25">
      <c r="C37" s="80">
        <v>31</v>
      </c>
      <c r="D37" s="80">
        <f t="shared" si="4"/>
        <v>15.659340659340659</v>
      </c>
      <c r="E37" s="126">
        <f t="shared" si="0"/>
        <v>49245</v>
      </c>
      <c r="F37" s="80">
        <f t="shared" si="1"/>
        <v>4</v>
      </c>
      <c r="G37" s="127">
        <f t="shared" si="2"/>
        <v>1.5924306706351488</v>
      </c>
      <c r="H37" s="80">
        <f t="shared" si="3"/>
        <v>0.1895805103676855</v>
      </c>
    </row>
    <row r="38" spans="3:8" x14ac:dyDescent="0.25">
      <c r="C38" s="80">
        <v>32</v>
      </c>
      <c r="D38" s="80">
        <f t="shared" si="4"/>
        <v>16.159340659340657</v>
      </c>
      <c r="E38" s="126">
        <f t="shared" si="0"/>
        <v>49427</v>
      </c>
      <c r="F38" s="80">
        <f t="shared" si="1"/>
        <v>4</v>
      </c>
      <c r="G38" s="127">
        <f t="shared" si="2"/>
        <v>1.5460491947914063</v>
      </c>
      <c r="H38" s="80">
        <f t="shared" si="3"/>
        <v>0.18993571146018157</v>
      </c>
    </row>
    <row r="39" spans="3:8" x14ac:dyDescent="0.25">
      <c r="C39" s="80">
        <v>33</v>
      </c>
      <c r="D39" s="80">
        <f t="shared" si="4"/>
        <v>16.659340659340657</v>
      </c>
      <c r="E39" s="126">
        <f t="shared" si="0"/>
        <v>49610</v>
      </c>
      <c r="F39" s="80">
        <f t="shared" si="1"/>
        <v>4</v>
      </c>
      <c r="G39" s="127">
        <f t="shared" si="2"/>
        <v>1.5010186357198121</v>
      </c>
      <c r="H39" s="80">
        <f t="shared" si="3"/>
        <v>0.19010939319472953</v>
      </c>
    </row>
    <row r="40" spans="3:8" x14ac:dyDescent="0.25">
      <c r="C40" s="80">
        <v>34</v>
      </c>
      <c r="D40" s="80">
        <f t="shared" si="4"/>
        <v>17.159340659340657</v>
      </c>
      <c r="E40" s="126">
        <f t="shared" si="0"/>
        <v>49793</v>
      </c>
      <c r="F40" s="80">
        <f t="shared" si="1"/>
        <v>4</v>
      </c>
      <c r="G40" s="127">
        <f t="shared" si="2"/>
        <v>1.4572996463299144</v>
      </c>
      <c r="H40" s="80">
        <f t="shared" si="3"/>
        <v>0.19011182818452371</v>
      </c>
    </row>
    <row r="41" spans="3:8" x14ac:dyDescent="0.25">
      <c r="C41" s="80">
        <v>35</v>
      </c>
      <c r="D41" s="80">
        <f t="shared" si="4"/>
        <v>17.659340659340657</v>
      </c>
      <c r="E41" s="126">
        <f t="shared" si="0"/>
        <v>49976</v>
      </c>
      <c r="F41" s="80">
        <f t="shared" si="1"/>
        <v>4</v>
      </c>
      <c r="G41" s="127">
        <f t="shared" si="2"/>
        <v>1.414854025563024</v>
      </c>
      <c r="H41" s="80">
        <f t="shared" si="3"/>
        <v>0.18995284462757039</v>
      </c>
    </row>
    <row r="42" spans="3:8" x14ac:dyDescent="0.25">
      <c r="C42" s="80">
        <v>36</v>
      </c>
      <c r="D42" s="80">
        <f t="shared" si="4"/>
        <v>18.159340659340657</v>
      </c>
      <c r="E42" s="126">
        <f t="shared" si="0"/>
        <v>50158</v>
      </c>
      <c r="F42" s="80">
        <f t="shared" si="1"/>
        <v>4</v>
      </c>
      <c r="G42" s="127">
        <f t="shared" si="2"/>
        <v>1.3736446850126445</v>
      </c>
      <c r="H42" s="80">
        <f t="shared" si="3"/>
        <v>0.18964184348031973</v>
      </c>
    </row>
    <row r="43" spans="3:8" x14ac:dyDescent="0.25">
      <c r="C43" s="80">
        <v>37</v>
      </c>
      <c r="D43" s="80">
        <f t="shared" si="4"/>
        <v>18.659340659340657</v>
      </c>
      <c r="E43" s="126">
        <f t="shared" si="0"/>
        <v>50341</v>
      </c>
      <c r="F43" s="80">
        <f t="shared" si="1"/>
        <v>4</v>
      </c>
      <c r="G43" s="127">
        <f t="shared" si="2"/>
        <v>1.3336356165171304</v>
      </c>
      <c r="H43" s="80">
        <f t="shared" si="3"/>
        <v>0.18918781500790674</v>
      </c>
    </row>
    <row r="44" spans="3:8" x14ac:dyDescent="0.25">
      <c r="C44" s="80">
        <v>38</v>
      </c>
      <c r="D44" s="80">
        <f t="shared" si="4"/>
        <v>19.159340659340657</v>
      </c>
      <c r="E44" s="126">
        <f t="shared" si="0"/>
        <v>50523</v>
      </c>
      <c r="F44" s="80">
        <f t="shared" si="1"/>
        <v>4</v>
      </c>
      <c r="G44" s="127">
        <f t="shared" si="2"/>
        <v>1.2947918606962434</v>
      </c>
      <c r="H44" s="80">
        <f t="shared" si="3"/>
        <v>0.18859935473274411</v>
      </c>
    </row>
    <row r="45" spans="3:8" x14ac:dyDescent="0.25">
      <c r="C45" s="80">
        <v>39</v>
      </c>
      <c r="D45" s="80">
        <f t="shared" si="4"/>
        <v>19.659340659340657</v>
      </c>
      <c r="E45" s="126">
        <f t="shared" si="0"/>
        <v>50706</v>
      </c>
      <c r="F45" s="80">
        <f t="shared" si="1"/>
        <v>4</v>
      </c>
      <c r="G45" s="127">
        <f t="shared" si="2"/>
        <v>1.2570794764041195</v>
      </c>
      <c r="H45" s="80">
        <f t="shared" si="3"/>
        <v>0.18788467880247528</v>
      </c>
    </row>
    <row r="46" spans="3:8" x14ac:dyDescent="0.25">
      <c r="C46" s="80">
        <v>40</v>
      </c>
      <c r="D46" s="80">
        <f t="shared" si="4"/>
        <v>20.159340659340657</v>
      </c>
      <c r="E46" s="126">
        <f t="shared" si="0"/>
        <v>50888</v>
      </c>
      <c r="F46" s="80">
        <f t="shared" si="1"/>
        <v>4</v>
      </c>
      <c r="G46" s="127">
        <f t="shared" si="2"/>
        <v>1.2204655110719604</v>
      </c>
      <c r="H46" s="80">
        <f t="shared" si="3"/>
        <v>0.18705163879758224</v>
      </c>
    </row>
    <row r="47" spans="3:8" x14ac:dyDescent="0.25">
      <c r="C47" s="80">
        <v>41</v>
      </c>
      <c r="D47" s="80">
        <f t="shared" si="4"/>
        <v>20.659340659340657</v>
      </c>
      <c r="E47" s="126">
        <f t="shared" si="0"/>
        <v>51071</v>
      </c>
      <c r="F47" s="80">
        <f t="shared" si="1"/>
        <v>4</v>
      </c>
      <c r="G47" s="127">
        <f t="shared" si="2"/>
        <v>1.1849179719145251</v>
      </c>
      <c r="H47" s="80">
        <f t="shared" si="3"/>
        <v>0.18610773599825073</v>
      </c>
    </row>
    <row r="48" spans="3:8" x14ac:dyDescent="0.25">
      <c r="C48" s="80">
        <v>42</v>
      </c>
      <c r="D48" s="80">
        <f t="shared" si="4"/>
        <v>21.159340659340657</v>
      </c>
      <c r="E48" s="126">
        <f t="shared" si="0"/>
        <v>51254</v>
      </c>
      <c r="F48" s="80">
        <f t="shared" si="1"/>
        <v>4</v>
      </c>
      <c r="G48" s="127">
        <f t="shared" si="2"/>
        <v>1.1504057979752669</v>
      </c>
      <c r="H48" s="80">
        <f t="shared" si="3"/>
        <v>0.18506013512943179</v>
      </c>
    </row>
    <row r="49" spans="3:8" x14ac:dyDescent="0.25">
      <c r="C49" s="80">
        <v>43</v>
      </c>
      <c r="D49" s="80">
        <f t="shared" si="4"/>
        <v>21.659340659340657</v>
      </c>
      <c r="E49" s="126">
        <f t="shared" si="0"/>
        <v>51437</v>
      </c>
      <c r="F49" s="80">
        <f t="shared" si="1"/>
        <v>4</v>
      </c>
      <c r="G49" s="127">
        <f t="shared" si="2"/>
        <v>1.1168988329856959</v>
      </c>
      <c r="H49" s="80">
        <f t="shared" si="3"/>
        <v>0.18391567760239305</v>
      </c>
    </row>
    <row r="50" spans="3:8" x14ac:dyDescent="0.25">
      <c r="C50" s="80">
        <v>44</v>
      </c>
      <c r="D50" s="80">
        <f t="shared" si="4"/>
        <v>22.159340659340657</v>
      </c>
      <c r="E50" s="126">
        <f t="shared" si="0"/>
        <v>51619</v>
      </c>
      <c r="F50" s="80">
        <f t="shared" si="1"/>
        <v>4</v>
      </c>
      <c r="G50" s="127">
        <f t="shared" si="2"/>
        <v>1.0843677990152387</v>
      </c>
      <c r="H50" s="80">
        <f t="shared" si="3"/>
        <v>0.1826808942704288</v>
      </c>
    </row>
    <row r="51" spans="3:8" x14ac:dyDescent="0.25">
      <c r="C51" s="80">
        <v>45</v>
      </c>
      <c r="D51" s="80">
        <f t="shared" si="4"/>
        <v>22.659340659340657</v>
      </c>
      <c r="E51" s="126">
        <f t="shared" si="0"/>
        <v>51802</v>
      </c>
      <c r="F51" s="80">
        <f t="shared" si="1"/>
        <v>4</v>
      </c>
      <c r="G51" s="127">
        <f t="shared" si="2"/>
        <v>1.0527842708885813</v>
      </c>
      <c r="H51" s="80">
        <f t="shared" si="3"/>
        <v>0.18136201771579813</v>
      </c>
    </row>
    <row r="52" spans="3:8" x14ac:dyDescent="0.25">
      <c r="C52" s="80">
        <v>46</v>
      </c>
      <c r="D52" s="80">
        <f t="shared" si="4"/>
        <v>23.159340659340657</v>
      </c>
      <c r="E52" s="126">
        <f t="shared" si="0"/>
        <v>51984</v>
      </c>
      <c r="F52" s="80">
        <f t="shared" si="1"/>
        <v>4</v>
      </c>
      <c r="G52" s="127">
        <f t="shared" si="2"/>
        <v>1.0221206513481371</v>
      </c>
      <c r="H52" s="80">
        <f t="shared" si="3"/>
        <v>0.17996499408437683</v>
      </c>
    </row>
    <row r="53" spans="3:8" x14ac:dyDescent="0.25">
      <c r="C53" s="80">
        <v>47</v>
      </c>
      <c r="D53" s="80">
        <f t="shared" si="4"/>
        <v>23.659340659340657</v>
      </c>
      <c r="E53" s="126">
        <f t="shared" si="0"/>
        <v>52167</v>
      </c>
      <c r="F53" s="80">
        <f t="shared" si="1"/>
        <v>4</v>
      </c>
      <c r="G53" s="127">
        <f t="shared" si="2"/>
        <v>0.99235014693993906</v>
      </c>
      <c r="H53" s="80">
        <f t="shared" si="3"/>
        <v>0.17849549448394583</v>
      </c>
    </row>
    <row r="54" spans="3:8" x14ac:dyDescent="0.25">
      <c r="C54" s="80">
        <v>48</v>
      </c>
      <c r="D54" s="80">
        <f t="shared" si="4"/>
        <v>24.159340659340657</v>
      </c>
      <c r="E54" s="126">
        <f t="shared" si="0"/>
        <v>52349</v>
      </c>
      <c r="F54" s="80">
        <f t="shared" si="1"/>
        <v>4</v>
      </c>
      <c r="G54" s="127">
        <f t="shared" si="2"/>
        <v>0.96344674460188251</v>
      </c>
      <c r="H54" s="80">
        <f t="shared" si="3"/>
        <v>0.17695892596149645</v>
      </c>
    </row>
    <row r="55" spans="3:8" x14ac:dyDescent="0.25">
      <c r="C55" s="80">
        <v>49</v>
      </c>
      <c r="D55" s="80">
        <f t="shared" si="4"/>
        <v>24.659340659340657</v>
      </c>
      <c r="E55" s="126">
        <f t="shared" si="0"/>
        <v>52532</v>
      </c>
      <c r="F55" s="80">
        <f t="shared" si="1"/>
        <v>4</v>
      </c>
      <c r="G55" s="127">
        <f t="shared" si="2"/>
        <v>0.93538518893386635</v>
      </c>
      <c r="H55" s="80">
        <f t="shared" si="3"/>
        <v>0.17536044207440554</v>
      </c>
    </row>
    <row r="56" spans="3:8" x14ac:dyDescent="0.25">
      <c r="C56" s="80">
        <v>50</v>
      </c>
      <c r="D56" s="80">
        <f t="shared" si="4"/>
        <v>25.159340659340657</v>
      </c>
      <c r="E56" s="126">
        <f t="shared" si="0"/>
        <v>52715</v>
      </c>
      <c r="F56" s="80">
        <f t="shared" si="1"/>
        <v>4</v>
      </c>
      <c r="G56" s="127">
        <f t="shared" si="2"/>
        <v>0.90814096012996737</v>
      </c>
      <c r="H56" s="80">
        <f t="shared" si="3"/>
        <v>0.17370495306982653</v>
      </c>
    </row>
    <row r="57" spans="3:8" x14ac:dyDescent="0.25">
      <c r="C57" s="80">
        <v>51</v>
      </c>
      <c r="D57" s="80">
        <f t="shared" si="4"/>
        <v>25.659340659340657</v>
      </c>
      <c r="E57" s="126">
        <f t="shared" si="0"/>
        <v>52898</v>
      </c>
      <c r="F57" s="80">
        <f t="shared" si="1"/>
        <v>4</v>
      </c>
      <c r="G57" s="127">
        <f t="shared" si="2"/>
        <v>0.88169025255336642</v>
      </c>
      <c r="H57" s="80">
        <f t="shared" si="3"/>
        <v>0.17199713568615055</v>
      </c>
    </row>
    <row r="58" spans="3:8" x14ac:dyDescent="0.25">
      <c r="C58" s="80">
        <v>52</v>
      </c>
      <c r="D58" s="80">
        <f t="shared" si="4"/>
        <v>26.159340659340657</v>
      </c>
      <c r="E58" s="126">
        <f t="shared" si="0"/>
        <v>53080</v>
      </c>
      <c r="F58" s="80">
        <f t="shared" si="1"/>
        <v>4</v>
      </c>
      <c r="G58" s="127">
        <f t="shared" si="2"/>
        <v>0.85600995393530721</v>
      </c>
      <c r="H58" s="80">
        <f t="shared" si="3"/>
        <v>0.17024144258991766</v>
      </c>
    </row>
    <row r="59" spans="3:8" x14ac:dyDescent="0.25">
      <c r="C59" s="80">
        <v>53</v>
      </c>
      <c r="D59" s="80">
        <f t="shared" si="4"/>
        <v>26.659340659340657</v>
      </c>
      <c r="E59" s="126">
        <f t="shared" si="0"/>
        <v>53263</v>
      </c>
      <c r="F59" s="80">
        <f t="shared" si="1"/>
        <v>4</v>
      </c>
      <c r="G59" s="127">
        <f t="shared" si="2"/>
        <v>0.83107762517990991</v>
      </c>
      <c r="H59" s="80">
        <f t="shared" si="3"/>
        <v>0.16844211146109886</v>
      </c>
    </row>
    <row r="60" spans="3:8" x14ac:dyDescent="0.25">
      <c r="C60" s="80">
        <v>54</v>
      </c>
      <c r="D60" s="80">
        <f t="shared" si="4"/>
        <v>27.159340659340657</v>
      </c>
      <c r="E60" s="126">
        <f t="shared" si="0"/>
        <v>53445</v>
      </c>
      <c r="F60" s="80">
        <f t="shared" si="1"/>
        <v>4</v>
      </c>
      <c r="G60" s="127">
        <f t="shared" si="2"/>
        <v>0.80687148075719406</v>
      </c>
      <c r="H60" s="80">
        <f t="shared" si="3"/>
        <v>0.16660317373922706</v>
      </c>
    </row>
    <row r="61" spans="3:8" x14ac:dyDescent="0.25">
      <c r="C61" s="80">
        <v>55</v>
      </c>
      <c r="D61" s="80">
        <f t="shared" si="4"/>
        <v>27.659340659340657</v>
      </c>
      <c r="E61" s="126">
        <f t="shared" si="0"/>
        <v>53628</v>
      </c>
      <c r="F61" s="80">
        <f t="shared" si="1"/>
        <v>4</v>
      </c>
      <c r="G61" s="127">
        <f t="shared" si="2"/>
        <v>0.78337036966717855</v>
      </c>
      <c r="H61" s="80">
        <f t="shared" si="3"/>
        <v>0.16472846304242519</v>
      </c>
    </row>
    <row r="62" spans="3:8" x14ac:dyDescent="0.25">
      <c r="C62" s="80">
        <v>56</v>
      </c>
      <c r="D62" s="80">
        <f t="shared" si="4"/>
        <v>28.159340659340657</v>
      </c>
      <c r="E62" s="126">
        <f t="shared" si="0"/>
        <v>53810</v>
      </c>
      <c r="F62" s="80">
        <f t="shared" si="1"/>
        <v>4</v>
      </c>
      <c r="G62" s="127">
        <f t="shared" si="2"/>
        <v>0.76055375695842586</v>
      </c>
      <c r="H62" s="80">
        <f t="shared" si="3"/>
        <v>0.16282162327096694</v>
      </c>
    </row>
    <row r="63" spans="3:8" x14ac:dyDescent="0.25">
      <c r="C63" s="80">
        <v>57</v>
      </c>
      <c r="D63" s="80">
        <f t="shared" si="4"/>
        <v>28.659340659340657</v>
      </c>
      <c r="E63" s="126">
        <f t="shared" si="0"/>
        <v>53993</v>
      </c>
      <c r="F63" s="80">
        <f t="shared" si="1"/>
        <v>4</v>
      </c>
      <c r="G63" s="127">
        <f t="shared" si="2"/>
        <v>0.7384017057848794</v>
      </c>
      <c r="H63" s="80">
        <f t="shared" si="3"/>
        <v>0.16088611640660452</v>
      </c>
    </row>
    <row r="64" spans="3:8" x14ac:dyDescent="0.25">
      <c r="C64" s="80">
        <v>58</v>
      </c>
      <c r="D64" s="80">
        <f t="shared" si="4"/>
        <v>29.159340659340657</v>
      </c>
      <c r="E64" s="126">
        <f t="shared" si="0"/>
        <v>54176</v>
      </c>
      <c r="F64" s="80">
        <f t="shared" si="1"/>
        <v>4</v>
      </c>
      <c r="G64" s="127">
        <f t="shared" si="2"/>
        <v>0.71689485998531977</v>
      </c>
      <c r="H64" s="80">
        <f t="shared" si="3"/>
        <v>0.15892523001851103</v>
      </c>
    </row>
    <row r="65" spans="1:9" x14ac:dyDescent="0.25">
      <c r="C65" s="80">
        <v>59</v>
      </c>
      <c r="D65" s="80">
        <f t="shared" si="4"/>
        <v>29.659340659340657</v>
      </c>
      <c r="E65" s="126">
        <f t="shared" si="0"/>
        <v>54359</v>
      </c>
      <c r="F65" s="80">
        <f t="shared" si="1"/>
        <v>4</v>
      </c>
      <c r="G65" s="127">
        <f t="shared" si="2"/>
        <v>0.69601442717021345</v>
      </c>
      <c r="H65" s="80">
        <f t="shared" si="3"/>
        <v>0.15694208448631183</v>
      </c>
    </row>
    <row r="66" spans="1:9" x14ac:dyDescent="0.25">
      <c r="C66" s="80">
        <v>60</v>
      </c>
      <c r="D66" s="80">
        <f t="shared" si="4"/>
        <v>30.159340659340657</v>
      </c>
      <c r="E66" s="126">
        <f t="shared" si="0"/>
        <v>54541</v>
      </c>
      <c r="F66" s="80">
        <f t="shared" si="1"/>
        <v>4</v>
      </c>
      <c r="G66" s="127">
        <f t="shared" si="2"/>
        <v>0.67574216230117801</v>
      </c>
      <c r="H66" s="80">
        <f t="shared" si="3"/>
        <v>0.15493963995031701</v>
      </c>
    </row>
    <row r="67" spans="1:9" x14ac:dyDescent="0.25">
      <c r="C67" s="80">
        <v>61</v>
      </c>
      <c r="D67" s="80">
        <f t="shared" si="4"/>
        <v>30.659340659340657</v>
      </c>
      <c r="E67" s="126">
        <f t="shared" si="0"/>
        <v>54724</v>
      </c>
      <c r="F67" s="80">
        <f t="shared" si="1"/>
        <v>4</v>
      </c>
      <c r="G67" s="127">
        <f t="shared" si="2"/>
        <v>0.65606035174871646</v>
      </c>
      <c r="H67" s="80">
        <f t="shared" si="3"/>
        <v>0.15292070299871921</v>
      </c>
    </row>
    <row r="68" spans="1:9" x14ac:dyDescent="0.25">
      <c r="C68" s="80">
        <v>62</v>
      </c>
      <c r="D68" s="80">
        <f t="shared" si="4"/>
        <v>31.159340659340657</v>
      </c>
      <c r="E68" s="126">
        <f t="shared" si="0"/>
        <v>54906</v>
      </c>
      <c r="F68" s="80">
        <f t="shared" si="1"/>
        <v>4</v>
      </c>
      <c r="G68" s="127">
        <f t="shared" si="2"/>
        <v>0.6369517978142879</v>
      </c>
      <c r="H68" s="80">
        <f t="shared" si="3"/>
        <v>0.15088793310118256</v>
      </c>
    </row>
    <row r="69" spans="1:9" x14ac:dyDescent="0.25">
      <c r="C69" s="83">
        <v>63</v>
      </c>
      <c r="D69" s="83">
        <f t="shared" si="4"/>
        <v>31.659340659340657</v>
      </c>
      <c r="E69" s="128">
        <f>EDATE(E68,6)</f>
        <v>55089</v>
      </c>
      <c r="F69" s="83">
        <f>($D$2*100/2)+100</f>
        <v>104</v>
      </c>
      <c r="G69" s="129">
        <f t="shared" si="2"/>
        <v>16.078394896282994</v>
      </c>
      <c r="H69" s="80">
        <f t="shared" si="3"/>
        <v>3.8699400687460068</v>
      </c>
    </row>
    <row r="70" spans="1:9" x14ac:dyDescent="0.25">
      <c r="D70" s="130"/>
      <c r="G70" s="131">
        <f>SUM(G6:G69)</f>
        <v>131.53469362169506</v>
      </c>
      <c r="H70" s="131">
        <f>SUM(H6:H69)</f>
        <v>13.554602764249182</v>
      </c>
      <c r="I70" s="77">
        <f>H70/G70</f>
        <v>0.10304963953642049</v>
      </c>
    </row>
    <row r="72" spans="1:9" x14ac:dyDescent="0.25">
      <c r="D72" s="130"/>
      <c r="F72" s="87"/>
    </row>
    <row r="73" spans="1:9" x14ac:dyDescent="0.25">
      <c r="F73" s="84"/>
      <c r="G73" s="84"/>
    </row>
    <row r="74" spans="1:9" x14ac:dyDescent="0.25">
      <c r="E74" s="61" t="s">
        <v>666</v>
      </c>
      <c r="F74" s="605"/>
      <c r="G74" s="605"/>
      <c r="H74" s="605"/>
    </row>
    <row r="75" spans="1:9" x14ac:dyDescent="0.25">
      <c r="A75" s="68" t="s">
        <v>667</v>
      </c>
      <c r="C75" s="19">
        <f>PRICE(B2,C2,D2,E2,100,2,1)</f>
        <v>128.17205625905768</v>
      </c>
      <c r="E75" s="606">
        <f>PRICE(B2,C2,D2,E2,100,2,1)</f>
        <v>128.17205625905768</v>
      </c>
    </row>
    <row r="76" spans="1:9" x14ac:dyDescent="0.25">
      <c r="A76" s="68" t="s">
        <v>668</v>
      </c>
      <c r="C76" s="607">
        <f>(E5-EDATE(E6,-6))*D2*100*0.5/(E6-EDATE(E6,-6))</f>
        <v>3.3626373626373627</v>
      </c>
      <c r="E76" s="606">
        <f>ACCRINT(EDATE(E6,-6),E6,E5,D2,100,2,1,FALSE)</f>
        <v>3.3626373626373627</v>
      </c>
    </row>
    <row r="77" spans="1:9" x14ac:dyDescent="0.25">
      <c r="A77" s="68" t="s">
        <v>669</v>
      </c>
      <c r="C77" s="132">
        <f>C75+C76</f>
        <v>131.53469362169506</v>
      </c>
      <c r="E77" s="606">
        <f>E75+E76</f>
        <v>131.53469362169506</v>
      </c>
    </row>
    <row r="78" spans="1:9" x14ac:dyDescent="0.25">
      <c r="A78" s="68" t="s">
        <v>670</v>
      </c>
      <c r="C78" s="69">
        <f>DURATION(B2,C2,D2,E2,2,1)</f>
        <v>13.47493243457885</v>
      </c>
      <c r="D78" s="68" t="s">
        <v>671</v>
      </c>
      <c r="E78" s="69">
        <f>DURATION(B2,C2,D2,E2,2,1)</f>
        <v>13.47493243457885</v>
      </c>
      <c r="F78" s="68" t="s">
        <v>671</v>
      </c>
    </row>
    <row r="79" spans="1:9" x14ac:dyDescent="0.25">
      <c r="A79" s="68" t="s">
        <v>672</v>
      </c>
      <c r="C79" s="606">
        <f>C78/(1+(E2/2))</f>
        <v>13.082458674348398</v>
      </c>
      <c r="E79" s="606">
        <f>MDURATION(B2,C2,D2,E2,2,1)</f>
        <v>13.082458674348398</v>
      </c>
    </row>
    <row r="80" spans="1:9" x14ac:dyDescent="0.25">
      <c r="A80" s="68" t="s">
        <v>673</v>
      </c>
      <c r="C80" s="608">
        <f>C79*C77*0.01</f>
        <v>17.207971935489034</v>
      </c>
      <c r="E80" s="606">
        <f>ABS(PRICE(B2,C2,D2,E2+0.0001,100,2,1)-PRICE(B2,C2,D2,E2,100,2,1))*100</f>
        <v>17.189670273063484</v>
      </c>
    </row>
    <row r="81" spans="3:3" x14ac:dyDescent="0.25">
      <c r="C81" s="87"/>
    </row>
  </sheetData>
  <pageMargins left="0.75" right="0.75" top="1" bottom="1" header="0.5" footer="0.5"/>
  <pageSetup orientation="portrait" r:id="rId1"/>
  <headerFooter alignWithMargins="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C66F-0A29-4A1B-B060-F937B586D4FD}">
  <dimension ref="A1:I26"/>
  <sheetViews>
    <sheetView workbookViewId="0">
      <selection activeCell="D20" sqref="D20"/>
    </sheetView>
  </sheetViews>
  <sheetFormatPr baseColWidth="10" defaultColWidth="9.21875" defaultRowHeight="13.2" x14ac:dyDescent="0.25"/>
  <cols>
    <col min="1" max="1" width="19.21875" style="68" customWidth="1"/>
    <col min="2" max="2" width="20.21875" style="68" bestFit="1" customWidth="1"/>
    <col min="3" max="3" width="18.21875" style="68" bestFit="1" customWidth="1"/>
    <col min="4" max="4" width="12" style="68" bestFit="1" customWidth="1"/>
    <col min="5" max="5" width="18.21875" style="68" customWidth="1"/>
    <col min="6" max="6" width="12.44140625" style="68" bestFit="1" customWidth="1"/>
    <col min="7" max="8" width="9.21875" style="68"/>
    <col min="9" max="9" width="11.109375" style="68" bestFit="1" customWidth="1"/>
    <col min="10" max="10" width="52.21875" style="68" bestFit="1" customWidth="1"/>
    <col min="11" max="16384" width="9.21875" style="68"/>
  </cols>
  <sheetData>
    <row r="1" spans="1:9" x14ac:dyDescent="0.25">
      <c r="A1" s="69" t="s">
        <v>418</v>
      </c>
      <c r="B1" s="69" t="s">
        <v>45</v>
      </c>
      <c r="C1" s="69" t="s">
        <v>24</v>
      </c>
      <c r="D1" s="137"/>
    </row>
    <row r="2" spans="1:9" x14ac:dyDescent="0.25">
      <c r="A2" s="79">
        <v>45886</v>
      </c>
      <c r="B2" s="70">
        <v>97.5</v>
      </c>
      <c r="C2" s="70" t="s">
        <v>0</v>
      </c>
      <c r="D2" s="137"/>
    </row>
    <row r="3" spans="1:9" x14ac:dyDescent="0.25">
      <c r="A3" s="81">
        <v>45986</v>
      </c>
      <c r="B3" s="80">
        <v>93</v>
      </c>
      <c r="C3" s="80" t="s">
        <v>0</v>
      </c>
      <c r="D3" s="137"/>
    </row>
    <row r="4" spans="1:9" x14ac:dyDescent="0.25">
      <c r="A4" s="81">
        <v>46126</v>
      </c>
      <c r="B4" s="80">
        <v>89</v>
      </c>
      <c r="C4" s="80" t="s">
        <v>0</v>
      </c>
      <c r="D4" s="137"/>
    </row>
    <row r="5" spans="1:9" x14ac:dyDescent="0.25">
      <c r="A5" s="81">
        <v>46316</v>
      </c>
      <c r="B5" s="80">
        <v>96</v>
      </c>
      <c r="C5" s="337">
        <v>0.08</v>
      </c>
      <c r="D5" s="137"/>
      <c r="E5" s="338"/>
    </row>
    <row r="6" spans="1:9" x14ac:dyDescent="0.25">
      <c r="A6" s="339">
        <v>46416</v>
      </c>
      <c r="B6" s="83">
        <v>101.6</v>
      </c>
      <c r="C6" s="340">
        <v>0.12</v>
      </c>
      <c r="D6" s="137"/>
      <c r="E6" s="338"/>
    </row>
    <row r="8" spans="1:9" x14ac:dyDescent="0.25">
      <c r="A8" s="341" t="s">
        <v>25</v>
      </c>
      <c r="B8" s="341"/>
      <c r="C8" s="154"/>
      <c r="D8" s="154"/>
      <c r="E8" s="154"/>
      <c r="F8" s="154"/>
      <c r="G8" s="154"/>
      <c r="H8" s="154"/>
      <c r="I8" s="154"/>
    </row>
    <row r="9" spans="1:9" x14ac:dyDescent="0.25">
      <c r="A9" s="154" t="s">
        <v>26</v>
      </c>
      <c r="B9" s="154"/>
      <c r="C9" s="154"/>
      <c r="D9" s="154"/>
      <c r="E9" s="154"/>
      <c r="F9" s="154"/>
      <c r="G9" s="154"/>
      <c r="H9" s="154"/>
      <c r="I9" s="154"/>
    </row>
    <row r="10" spans="1:9" x14ac:dyDescent="0.25">
      <c r="A10" s="154" t="s">
        <v>27</v>
      </c>
      <c r="B10" s="154"/>
      <c r="C10" s="154"/>
      <c r="D10" s="154"/>
      <c r="E10" s="154"/>
      <c r="F10" s="154"/>
      <c r="G10" s="154"/>
      <c r="H10" s="154"/>
      <c r="I10" s="154"/>
    </row>
    <row r="11" spans="1:9" x14ac:dyDescent="0.25">
      <c r="A11" s="154"/>
      <c r="B11" s="154"/>
      <c r="C11" s="154"/>
      <c r="D11" s="154"/>
      <c r="E11" s="154"/>
      <c r="F11" s="154"/>
      <c r="G11" s="154"/>
      <c r="H11" s="154"/>
      <c r="I11" s="154"/>
    </row>
    <row r="12" spans="1:9" x14ac:dyDescent="0.25">
      <c r="A12" s="342" t="s">
        <v>6</v>
      </c>
      <c r="B12" s="342" t="s">
        <v>28</v>
      </c>
      <c r="C12" s="342" t="s">
        <v>29</v>
      </c>
      <c r="D12" s="343" t="s">
        <v>30</v>
      </c>
      <c r="E12" s="154"/>
      <c r="F12" s="71" t="s">
        <v>31</v>
      </c>
      <c r="G12" s="71" t="s">
        <v>30</v>
      </c>
      <c r="H12" s="154"/>
      <c r="I12" s="154"/>
    </row>
    <row r="13" spans="1:9" x14ac:dyDescent="0.25">
      <c r="A13" s="344"/>
      <c r="B13" s="345"/>
      <c r="C13" s="345"/>
      <c r="D13" s="346"/>
      <c r="E13" s="154"/>
      <c r="F13" s="71">
        <f>(A2-$A$14)/365</f>
        <v>0.55890410958904113</v>
      </c>
      <c r="G13" s="347">
        <f>D15</f>
        <v>4.5299019187577512E-2</v>
      </c>
      <c r="H13" s="154"/>
      <c r="I13" s="154"/>
    </row>
    <row r="14" spans="1:9" x14ac:dyDescent="0.25">
      <c r="A14" s="348">
        <v>45682</v>
      </c>
      <c r="B14" s="349">
        <v>0</v>
      </c>
      <c r="C14" s="349"/>
      <c r="D14" s="350"/>
      <c r="E14" s="154"/>
      <c r="F14" s="138">
        <f t="shared" ref="F14:F15" si="0">(A3-$A$14)/365</f>
        <v>0.83287671232876714</v>
      </c>
      <c r="G14" s="351">
        <f>D16</f>
        <v>8.7132575278667468E-2</v>
      </c>
      <c r="H14" s="154"/>
      <c r="I14" s="154"/>
    </row>
    <row r="15" spans="1:9" x14ac:dyDescent="0.25">
      <c r="A15" s="348">
        <f>A2</f>
        <v>45886</v>
      </c>
      <c r="B15" s="349">
        <f>A15-$A$14</f>
        <v>204</v>
      </c>
      <c r="C15" s="349">
        <f>B2</f>
        <v>97.5</v>
      </c>
      <c r="D15" s="350">
        <f>-LN(C15/100)/(B15/365)</f>
        <v>4.5299019187577512E-2</v>
      </c>
      <c r="E15" s="154"/>
      <c r="F15" s="141">
        <f t="shared" si="0"/>
        <v>1.2164383561643837</v>
      </c>
      <c r="G15" s="352">
        <f>D17</f>
        <v>9.5799195795996162E-2</v>
      </c>
      <c r="H15" s="154"/>
      <c r="I15" s="154"/>
    </row>
    <row r="16" spans="1:9" x14ac:dyDescent="0.25">
      <c r="A16" s="348">
        <f>A3</f>
        <v>45986</v>
      </c>
      <c r="B16" s="349">
        <f>A16-$A$14</f>
        <v>304</v>
      </c>
      <c r="C16" s="349">
        <f>B3</f>
        <v>93</v>
      </c>
      <c r="D16" s="350">
        <f>-LN(C16/100)/(B16/365)</f>
        <v>8.7132575278667468E-2</v>
      </c>
      <c r="E16" s="154"/>
      <c r="F16" s="154"/>
      <c r="G16" s="154"/>
      <c r="H16" s="154"/>
      <c r="I16" s="154"/>
    </row>
    <row r="17" spans="1:9" x14ac:dyDescent="0.25">
      <c r="A17" s="353">
        <f>A4</f>
        <v>46126</v>
      </c>
      <c r="B17" s="354">
        <f>A17-$A$14</f>
        <v>444</v>
      </c>
      <c r="C17" s="354">
        <f>B4</f>
        <v>89</v>
      </c>
      <c r="D17" s="355">
        <f>-LN(C17/100)/(B17/365)</f>
        <v>9.5799195795996162E-2</v>
      </c>
      <c r="E17" s="154"/>
      <c r="F17" s="154"/>
      <c r="G17" s="154"/>
      <c r="H17" s="154"/>
      <c r="I17" s="154"/>
    </row>
    <row r="18" spans="1:9" x14ac:dyDescent="0.25">
      <c r="A18" s="154"/>
      <c r="B18" s="154"/>
      <c r="C18" s="154"/>
      <c r="D18" s="154"/>
      <c r="E18" s="154"/>
      <c r="F18" s="154"/>
      <c r="G18" s="154"/>
      <c r="H18" s="154"/>
      <c r="I18" s="154"/>
    </row>
    <row r="25" spans="1:9" x14ac:dyDescent="0.25">
      <c r="D25" s="356"/>
    </row>
    <row r="26" spans="1:9" x14ac:dyDescent="0.25">
      <c r="D26" s="356"/>
    </row>
  </sheetData>
  <pageMargins left="0.75" right="0.75" top="1" bottom="1" header="0.5" footer="0.5"/>
  <pageSetup orientation="portrait" r:id="rId1"/>
  <headerFooter alignWithMargins="0"/>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A105B-E05D-4662-BCD8-B378A7C300EB}">
  <dimension ref="A1:I34"/>
  <sheetViews>
    <sheetView topLeftCell="A7" workbookViewId="0">
      <selection activeCell="C21" sqref="C21"/>
    </sheetView>
  </sheetViews>
  <sheetFormatPr baseColWidth="10" defaultColWidth="9.21875" defaultRowHeight="13.2" x14ac:dyDescent="0.25"/>
  <cols>
    <col min="1" max="1" width="19.21875" style="68" customWidth="1"/>
    <col min="2" max="2" width="20.21875" style="68" bestFit="1" customWidth="1"/>
    <col min="3" max="3" width="18.21875" style="68" bestFit="1" customWidth="1"/>
    <col min="4" max="4" width="12" style="68" bestFit="1" customWidth="1"/>
    <col min="5" max="5" width="18.21875" style="68" customWidth="1"/>
    <col min="6" max="6" width="12.44140625" style="68" bestFit="1" customWidth="1"/>
    <col min="7" max="16384" width="9.21875" style="68"/>
  </cols>
  <sheetData>
    <row r="1" spans="1:9" x14ac:dyDescent="0.25">
      <c r="A1" s="69" t="s">
        <v>418</v>
      </c>
      <c r="B1" s="69" t="s">
        <v>45</v>
      </c>
      <c r="C1" s="69" t="s">
        <v>24</v>
      </c>
      <c r="D1" s="137"/>
    </row>
    <row r="2" spans="1:9" x14ac:dyDescent="0.25">
      <c r="A2" s="79">
        <v>45886</v>
      </c>
      <c r="B2" s="70">
        <f>'[1]Slide 46 (3 instruments)'!B2</f>
        <v>97.5</v>
      </c>
      <c r="C2" s="70" t="s">
        <v>0</v>
      </c>
      <c r="D2" s="357"/>
    </row>
    <row r="3" spans="1:9" x14ac:dyDescent="0.25">
      <c r="A3" s="81">
        <v>45986</v>
      </c>
      <c r="B3" s="80">
        <f>'[1]Slide 46 (3 instruments)'!B3</f>
        <v>93</v>
      </c>
      <c r="C3" s="80" t="s">
        <v>0</v>
      </c>
      <c r="D3" s="137"/>
    </row>
    <row r="4" spans="1:9" x14ac:dyDescent="0.25">
      <c r="A4" s="81">
        <v>46126</v>
      </c>
      <c r="B4" s="80">
        <f>'[1]Slide 46 (3 instruments)'!B4</f>
        <v>89</v>
      </c>
      <c r="C4" s="80" t="s">
        <v>0</v>
      </c>
      <c r="D4" s="137"/>
    </row>
    <row r="5" spans="1:9" x14ac:dyDescent="0.25">
      <c r="A5" s="81">
        <v>46316</v>
      </c>
      <c r="B5" s="80">
        <v>96</v>
      </c>
      <c r="C5" s="337">
        <v>0.08</v>
      </c>
      <c r="D5" s="137"/>
      <c r="E5" s="338"/>
    </row>
    <row r="6" spans="1:9" x14ac:dyDescent="0.25">
      <c r="A6" s="339">
        <v>46416</v>
      </c>
      <c r="B6" s="83">
        <v>101.6</v>
      </c>
      <c r="C6" s="340">
        <v>0.12</v>
      </c>
      <c r="D6" s="137"/>
      <c r="E6" s="338"/>
    </row>
    <row r="8" spans="1:9" x14ac:dyDescent="0.25">
      <c r="A8" s="341" t="s">
        <v>25</v>
      </c>
      <c r="B8" s="341"/>
      <c r="C8" s="154"/>
      <c r="D8" s="154"/>
      <c r="E8" s="154"/>
      <c r="F8" s="154"/>
      <c r="G8" s="154"/>
      <c r="H8" s="154"/>
      <c r="I8" s="154"/>
    </row>
    <row r="9" spans="1:9" x14ac:dyDescent="0.25">
      <c r="A9" s="154" t="s">
        <v>26</v>
      </c>
      <c r="B9" s="154"/>
      <c r="C9" s="154"/>
      <c r="D9" s="154"/>
      <c r="E9" s="154"/>
      <c r="F9" s="154"/>
      <c r="G9" s="154"/>
      <c r="H9" s="154"/>
      <c r="I9" s="154"/>
    </row>
    <row r="10" spans="1:9" x14ac:dyDescent="0.25">
      <c r="A10" s="154" t="s">
        <v>27</v>
      </c>
      <c r="B10" s="154"/>
      <c r="C10" s="154"/>
      <c r="D10" s="154"/>
      <c r="E10" s="154"/>
      <c r="F10" s="154"/>
      <c r="G10" s="154"/>
      <c r="H10" s="154"/>
      <c r="I10" s="154"/>
    </row>
    <row r="11" spans="1:9" x14ac:dyDescent="0.25">
      <c r="A11" s="154"/>
      <c r="B11" s="154"/>
      <c r="C11" s="154"/>
      <c r="D11" s="154"/>
      <c r="E11" s="154"/>
      <c r="F11" s="154"/>
      <c r="G11" s="154"/>
      <c r="H11" s="154"/>
      <c r="I11" s="154"/>
    </row>
    <row r="12" spans="1:9" x14ac:dyDescent="0.25">
      <c r="A12" s="342" t="s">
        <v>6</v>
      </c>
      <c r="B12" s="342" t="s">
        <v>28</v>
      </c>
      <c r="C12" s="342" t="s">
        <v>29</v>
      </c>
      <c r="D12" s="343" t="s">
        <v>30</v>
      </c>
      <c r="E12" s="154"/>
      <c r="F12" s="71" t="s">
        <v>31</v>
      </c>
      <c r="G12" s="71" t="s">
        <v>30</v>
      </c>
      <c r="H12" s="154"/>
      <c r="I12" s="154"/>
    </row>
    <row r="13" spans="1:9" x14ac:dyDescent="0.25">
      <c r="A13" s="344"/>
      <c r="B13" s="345"/>
      <c r="C13" s="345"/>
      <c r="D13" s="346"/>
      <c r="E13" s="154"/>
      <c r="F13" s="71">
        <f>(A2-$A$14)/365</f>
        <v>0.55890410958904113</v>
      </c>
      <c r="G13" s="347">
        <f>D15</f>
        <v>4.5299019187577512E-2</v>
      </c>
      <c r="H13" s="154"/>
      <c r="I13" s="154"/>
    </row>
    <row r="14" spans="1:9" x14ac:dyDescent="0.25">
      <c r="A14" s="348">
        <f>'[1]Slide 46 (3 instruments)'!A14</f>
        <v>45682</v>
      </c>
      <c r="B14" s="349">
        <v>0</v>
      </c>
      <c r="C14" s="349"/>
      <c r="D14" s="350"/>
      <c r="E14" s="154"/>
      <c r="F14" s="138">
        <f t="shared" ref="F14:F15" si="0">(A3-$A$14)/365</f>
        <v>0.83287671232876714</v>
      </c>
      <c r="G14" s="351">
        <f>D16</f>
        <v>8.7132575278667468E-2</v>
      </c>
      <c r="H14" s="154"/>
      <c r="I14" s="154"/>
    </row>
    <row r="15" spans="1:9" x14ac:dyDescent="0.25">
      <c r="A15" s="348">
        <f>'[1]Slide 46 (3 instruments)'!A15</f>
        <v>45886</v>
      </c>
      <c r="B15" s="349">
        <f>A15-$A$14</f>
        <v>204</v>
      </c>
      <c r="C15" s="349">
        <f>B2</f>
        <v>97.5</v>
      </c>
      <c r="D15" s="350">
        <f>-LN(C15/100)/(B15/365)</f>
        <v>4.5299019187577512E-2</v>
      </c>
      <c r="E15" s="154"/>
      <c r="F15" s="141">
        <f t="shared" si="0"/>
        <v>1.2164383561643837</v>
      </c>
      <c r="G15" s="352">
        <f>D17</f>
        <v>9.5799195795996162E-2</v>
      </c>
      <c r="H15" s="154"/>
      <c r="I15" s="154"/>
    </row>
    <row r="16" spans="1:9" x14ac:dyDescent="0.25">
      <c r="A16" s="348">
        <f>'[1]Slide 46 (3 instruments)'!A16</f>
        <v>45986</v>
      </c>
      <c r="B16" s="349">
        <f>A16-$A$14</f>
        <v>304</v>
      </c>
      <c r="C16" s="349">
        <f>B3</f>
        <v>93</v>
      </c>
      <c r="D16" s="350">
        <f>-LN(C16/100)/(B16/365)</f>
        <v>8.7132575278667468E-2</v>
      </c>
      <c r="E16" s="154"/>
      <c r="F16" s="154"/>
      <c r="G16" s="154"/>
      <c r="H16" s="154"/>
      <c r="I16" s="154"/>
    </row>
    <row r="17" spans="1:9" x14ac:dyDescent="0.25">
      <c r="A17" s="353">
        <f>'[1]Slide 46 (3 instruments)'!A17</f>
        <v>46126</v>
      </c>
      <c r="B17" s="354">
        <f>A17-$A$14</f>
        <v>444</v>
      </c>
      <c r="C17" s="354">
        <f>B4</f>
        <v>89</v>
      </c>
      <c r="D17" s="355">
        <f>-LN(C17/100)/(B17/365)</f>
        <v>9.5799195795996162E-2</v>
      </c>
      <c r="E17" s="154"/>
      <c r="F17" s="154"/>
      <c r="G17" s="154"/>
      <c r="H17" s="154"/>
      <c r="I17" s="154"/>
    </row>
    <row r="18" spans="1:9" x14ac:dyDescent="0.25">
      <c r="A18" s="154"/>
      <c r="B18" s="154"/>
      <c r="C18" s="154"/>
      <c r="D18" s="154"/>
      <c r="E18" s="154"/>
      <c r="F18" s="154"/>
      <c r="G18" s="154"/>
      <c r="H18" s="154"/>
      <c r="I18" s="154"/>
    </row>
    <row r="19" spans="1:9" x14ac:dyDescent="0.25">
      <c r="A19" s="358" t="s">
        <v>32</v>
      </c>
      <c r="B19" s="155"/>
      <c r="C19" s="155"/>
      <c r="D19" s="155"/>
      <c r="E19" s="155"/>
      <c r="F19" s="155"/>
      <c r="G19" s="155"/>
      <c r="H19" s="155"/>
      <c r="I19" s="155"/>
    </row>
    <row r="20" spans="1:9" x14ac:dyDescent="0.25">
      <c r="A20" s="155" t="s">
        <v>33</v>
      </c>
      <c r="B20" s="155"/>
      <c r="C20" s="155"/>
      <c r="D20" s="155"/>
      <c r="E20" s="155"/>
      <c r="F20" s="155"/>
      <c r="G20" s="155"/>
      <c r="H20" s="155"/>
      <c r="I20" s="155"/>
    </row>
    <row r="21" spans="1:9" x14ac:dyDescent="0.25">
      <c r="A21" s="155" t="s">
        <v>34</v>
      </c>
      <c r="B21" s="155"/>
      <c r="C21" s="155"/>
      <c r="D21" s="155"/>
      <c r="E21" s="155"/>
      <c r="F21" s="155"/>
      <c r="G21" s="155"/>
      <c r="H21" s="155"/>
      <c r="I21" s="155"/>
    </row>
    <row r="22" spans="1:9" x14ac:dyDescent="0.25">
      <c r="A22" s="155"/>
      <c r="B22" s="155"/>
      <c r="C22" s="155"/>
      <c r="D22" s="155"/>
      <c r="E22" s="155"/>
      <c r="F22" s="155"/>
      <c r="G22" s="155"/>
      <c r="H22" s="155"/>
      <c r="I22" s="155"/>
    </row>
    <row r="23" spans="1:9" x14ac:dyDescent="0.25">
      <c r="A23" s="359" t="s">
        <v>6</v>
      </c>
      <c r="B23" s="359" t="s">
        <v>28</v>
      </c>
      <c r="C23" s="359" t="s">
        <v>35</v>
      </c>
      <c r="D23" s="360" t="s">
        <v>36</v>
      </c>
      <c r="E23" s="360" t="s">
        <v>30</v>
      </c>
      <c r="F23" s="360" t="s">
        <v>37</v>
      </c>
      <c r="G23" s="155"/>
      <c r="H23" s="71" t="s">
        <v>31</v>
      </c>
      <c r="I23" s="71" t="s">
        <v>30</v>
      </c>
    </row>
    <row r="24" spans="1:9" x14ac:dyDescent="0.25">
      <c r="A24" s="361">
        <f>EDATE(A26,-6)</f>
        <v>45586</v>
      </c>
      <c r="B24" s="362"/>
      <c r="C24" s="362"/>
      <c r="D24" s="362"/>
      <c r="E24" s="362"/>
      <c r="F24" s="362"/>
      <c r="G24" s="155"/>
      <c r="H24" s="143">
        <f>D25</f>
        <v>0</v>
      </c>
      <c r="I24" s="363">
        <f>I25</f>
        <v>4.5299019187577512E-2</v>
      </c>
    </row>
    <row r="25" spans="1:9" x14ac:dyDescent="0.25">
      <c r="A25" s="364">
        <f>A14</f>
        <v>45682</v>
      </c>
      <c r="B25" s="365">
        <v>0</v>
      </c>
      <c r="C25" s="365"/>
      <c r="D25" s="365">
        <f>(A25-$A$25)/365</f>
        <v>0</v>
      </c>
      <c r="E25" s="366"/>
      <c r="F25" s="365"/>
      <c r="G25" s="155"/>
      <c r="H25" s="146">
        <f>D26</f>
        <v>0.23561643835616439</v>
      </c>
      <c r="I25" s="367">
        <f>I26</f>
        <v>4.5299019187577512E-2</v>
      </c>
    </row>
    <row r="26" spans="1:9" x14ac:dyDescent="0.25">
      <c r="A26" s="364">
        <f>EDATE(A27,-6)</f>
        <v>45768</v>
      </c>
      <c r="B26" s="365">
        <f>A26-$A$25</f>
        <v>86</v>
      </c>
      <c r="C26" s="365">
        <f>$C$5*100/2</f>
        <v>4</v>
      </c>
      <c r="D26" s="365">
        <f>(A26-$A$25)/365</f>
        <v>0.23561643835616439</v>
      </c>
      <c r="E26" s="366">
        <f>I25</f>
        <v>4.5299019187577512E-2</v>
      </c>
      <c r="F26" s="365">
        <f>C26*EXP(-D26*E26)</f>
        <v>3.9575342514592866</v>
      </c>
      <c r="G26" s="155"/>
      <c r="H26" s="368">
        <f>F13</f>
        <v>0.55890410958904113</v>
      </c>
      <c r="I26" s="369">
        <f>G13</f>
        <v>4.5299019187577512E-2</v>
      </c>
    </row>
    <row r="27" spans="1:9" x14ac:dyDescent="0.25">
      <c r="A27" s="364">
        <f>EDATE(A28,-6)</f>
        <v>45951</v>
      </c>
      <c r="B27" s="365">
        <f>A27-$A$25</f>
        <v>269</v>
      </c>
      <c r="C27" s="365">
        <f>$C$5*100/2</f>
        <v>4</v>
      </c>
      <c r="D27" s="365">
        <f>(A27-$A$25)/365</f>
        <v>0.73698630136986298</v>
      </c>
      <c r="E27" s="366">
        <f>I27</f>
        <v>7.2490830646785978E-2</v>
      </c>
      <c r="F27" s="365">
        <f>C27*EXP(-D27*E27)</f>
        <v>3.791909097617999</v>
      </c>
      <c r="G27" s="155"/>
      <c r="H27" s="146">
        <f>D27</f>
        <v>0.73698630136986298</v>
      </c>
      <c r="I27" s="367">
        <f>((I28-I26)*(H27-H26)/(H28-H26))+I26</f>
        <v>7.2490830646785978E-2</v>
      </c>
    </row>
    <row r="28" spans="1:9" x14ac:dyDescent="0.25">
      <c r="A28" s="364">
        <f>EDATE(A29,-6)</f>
        <v>46133</v>
      </c>
      <c r="B28" s="365">
        <f>A28-$A$25</f>
        <v>451</v>
      </c>
      <c r="C28" s="365">
        <f>$C$5*100/2</f>
        <v>4</v>
      </c>
      <c r="D28" s="365">
        <f>(A28-$A$25)/365</f>
        <v>1.2356164383561643</v>
      </c>
      <c r="E28" s="366">
        <f>I30</f>
        <v>9.6102229194222219E-2</v>
      </c>
      <c r="F28" s="365">
        <f>C28*EXP(-D28*E28)</f>
        <v>3.5521351271678423</v>
      </c>
      <c r="G28" s="155"/>
      <c r="H28" s="368">
        <f>F14</f>
        <v>0.83287671232876714</v>
      </c>
      <c r="I28" s="369">
        <f>G14</f>
        <v>8.7132575278667468E-2</v>
      </c>
    </row>
    <row r="29" spans="1:9" x14ac:dyDescent="0.25">
      <c r="A29" s="370">
        <f>A5</f>
        <v>46316</v>
      </c>
      <c r="B29" s="371">
        <f>A29-$A$25</f>
        <v>634</v>
      </c>
      <c r="C29" s="371">
        <f>100+($C$5*100/2)</f>
        <v>104</v>
      </c>
      <c r="D29" s="371">
        <f>(A29-$A$25)/365</f>
        <v>1.736986301369863</v>
      </c>
      <c r="E29" s="372">
        <f>I31</f>
        <v>0.10402438803356079</v>
      </c>
      <c r="F29" s="371">
        <f>C29*EXP(-D29*E29)</f>
        <v>86.808275945777396</v>
      </c>
      <c r="G29" s="155"/>
      <c r="H29" s="368">
        <f>F15</f>
        <v>1.2164383561643837</v>
      </c>
      <c r="I29" s="369">
        <f>G15</f>
        <v>9.5799195795996162E-2</v>
      </c>
    </row>
    <row r="30" spans="1:9" x14ac:dyDescent="0.25">
      <c r="A30" s="155"/>
      <c r="B30" s="155"/>
      <c r="C30" s="155"/>
      <c r="D30" s="155"/>
      <c r="E30" s="359" t="s">
        <v>38</v>
      </c>
      <c r="F30" s="359">
        <f>SUM(F26:F29)</f>
        <v>98.109854422022522</v>
      </c>
      <c r="G30" s="155"/>
      <c r="H30" s="146">
        <f>D28</f>
        <v>1.2356164383561643</v>
      </c>
      <c r="I30" s="367">
        <f>((I31-I29)*(H30-H29)/(H31-H29))+I29</f>
        <v>9.6102229194222219E-2</v>
      </c>
    </row>
    <row r="31" spans="1:9" x14ac:dyDescent="0.25">
      <c r="A31" s="155"/>
      <c r="B31" s="155" t="s">
        <v>39</v>
      </c>
      <c r="C31" s="155">
        <f>ACCRINT(A24,A26,A25,C5,100,2,1)</f>
        <v>2.1098901098901099</v>
      </c>
      <c r="D31" s="155"/>
      <c r="E31" s="155"/>
      <c r="F31" s="155"/>
      <c r="G31" s="155"/>
      <c r="H31" s="149">
        <f>D29</f>
        <v>1.736986301369863</v>
      </c>
      <c r="I31" s="373">
        <v>0.10402438803356079</v>
      </c>
    </row>
    <row r="32" spans="1:9" x14ac:dyDescent="0.25">
      <c r="A32" s="155"/>
      <c r="B32" s="155" t="s">
        <v>419</v>
      </c>
      <c r="C32" s="155">
        <f>B5+C31</f>
        <v>98.109890109890117</v>
      </c>
      <c r="D32" s="155"/>
      <c r="E32" s="155"/>
      <c r="F32" s="155"/>
      <c r="G32" s="155"/>
      <c r="H32" s="155"/>
      <c r="I32" s="155"/>
    </row>
    <row r="33" spans="1:9" x14ac:dyDescent="0.25">
      <c r="A33" s="358"/>
      <c r="B33" s="155"/>
      <c r="C33" s="155"/>
      <c r="D33" s="155"/>
      <c r="E33" s="155"/>
      <c r="F33" s="155"/>
      <c r="G33" s="155"/>
      <c r="H33" s="155"/>
      <c r="I33" s="155"/>
    </row>
    <row r="34" spans="1:9" x14ac:dyDescent="0.25">
      <c r="A34" s="358"/>
      <c r="B34" s="155"/>
      <c r="C34" s="155"/>
      <c r="D34" s="155"/>
      <c r="E34" s="155"/>
      <c r="F34" s="155"/>
      <c r="G34" s="155"/>
      <c r="H34" s="155"/>
      <c r="I34" s="155"/>
    </row>
  </sheetData>
  <pageMargins left="0.75" right="0.75" top="1" bottom="1" header="0.5" footer="0.5"/>
  <pageSetup orientation="portrait" r:id="rId1"/>
  <headerFooter alignWithMargins="0"/>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F8D6-EF01-4611-A4B5-5181F240E1B2}">
  <dimension ref="A1:I50"/>
  <sheetViews>
    <sheetView topLeftCell="A43" workbookViewId="0">
      <selection activeCell="J51" sqref="J51"/>
    </sheetView>
  </sheetViews>
  <sheetFormatPr baseColWidth="10" defaultColWidth="9.21875" defaultRowHeight="13.2" x14ac:dyDescent="0.25"/>
  <cols>
    <col min="1" max="1" width="19.21875" style="68" customWidth="1"/>
    <col min="2" max="2" width="20.21875" style="68" bestFit="1" customWidth="1"/>
    <col min="3" max="3" width="18.21875" style="68" bestFit="1" customWidth="1"/>
    <col min="4" max="4" width="12" style="68" bestFit="1" customWidth="1"/>
    <col min="5" max="5" width="18.21875" style="68" customWidth="1"/>
    <col min="6" max="6" width="12.44140625" style="68" bestFit="1" customWidth="1"/>
    <col min="7" max="16384" width="9.21875" style="68"/>
  </cols>
  <sheetData>
    <row r="1" spans="1:9" x14ac:dyDescent="0.25">
      <c r="A1" s="69" t="s">
        <v>22</v>
      </c>
      <c r="B1" s="69" t="s">
        <v>23</v>
      </c>
      <c r="C1" s="69" t="s">
        <v>24</v>
      </c>
      <c r="D1" s="137"/>
    </row>
    <row r="2" spans="1:9" x14ac:dyDescent="0.25">
      <c r="A2" s="79">
        <v>45886</v>
      </c>
      <c r="B2" s="70">
        <f>'[1]Slide 46 (4 instruments)'!B2</f>
        <v>97.5</v>
      </c>
      <c r="C2" s="70" t="s">
        <v>0</v>
      </c>
      <c r="D2" s="357"/>
    </row>
    <row r="3" spans="1:9" x14ac:dyDescent="0.25">
      <c r="A3" s="81">
        <v>45986</v>
      </c>
      <c r="B3" s="80">
        <f>'[1]Slide 46 (4 instruments)'!B3</f>
        <v>93</v>
      </c>
      <c r="C3" s="80" t="s">
        <v>0</v>
      </c>
      <c r="D3" s="137"/>
    </row>
    <row r="4" spans="1:9" x14ac:dyDescent="0.25">
      <c r="A4" s="81">
        <v>46126</v>
      </c>
      <c r="B4" s="80">
        <f>'[1]Slide 46 (4 instruments)'!B4</f>
        <v>89</v>
      </c>
      <c r="C4" s="80" t="s">
        <v>0</v>
      </c>
      <c r="D4" s="137"/>
    </row>
    <row r="5" spans="1:9" x14ac:dyDescent="0.25">
      <c r="A5" s="81">
        <v>46316</v>
      </c>
      <c r="B5" s="80">
        <f>'[1]Slide 46 (4 instruments)'!B5</f>
        <v>96</v>
      </c>
      <c r="C5" s="337">
        <v>0.08</v>
      </c>
      <c r="D5" s="137"/>
      <c r="E5" s="338"/>
    </row>
    <row r="6" spans="1:9" x14ac:dyDescent="0.25">
      <c r="A6" s="339">
        <v>46416</v>
      </c>
      <c r="B6" s="83">
        <f>'[1]Slide 46 (4 instruments)'!B6</f>
        <v>101.6</v>
      </c>
      <c r="C6" s="340">
        <v>0.12</v>
      </c>
      <c r="D6" s="137"/>
      <c r="E6" s="338"/>
    </row>
    <row r="8" spans="1:9" x14ac:dyDescent="0.25">
      <c r="A8" s="341" t="s">
        <v>25</v>
      </c>
      <c r="B8" s="341"/>
      <c r="C8" s="154"/>
      <c r="D8" s="154"/>
      <c r="E8" s="154"/>
      <c r="F8" s="154"/>
      <c r="G8" s="154"/>
      <c r="H8" s="154"/>
      <c r="I8" s="154"/>
    </row>
    <row r="9" spans="1:9" x14ac:dyDescent="0.25">
      <c r="A9" s="154" t="s">
        <v>26</v>
      </c>
      <c r="B9" s="154"/>
      <c r="C9" s="154"/>
      <c r="D9" s="154"/>
      <c r="E9" s="154"/>
      <c r="F9" s="154"/>
      <c r="G9" s="154"/>
      <c r="H9" s="154"/>
      <c r="I9" s="154"/>
    </row>
    <row r="10" spans="1:9" x14ac:dyDescent="0.25">
      <c r="A10" s="154" t="s">
        <v>27</v>
      </c>
      <c r="B10" s="154"/>
      <c r="C10" s="154"/>
      <c r="D10" s="154"/>
      <c r="E10" s="154"/>
      <c r="F10" s="154"/>
      <c r="G10" s="154"/>
      <c r="H10" s="154"/>
      <c r="I10" s="154"/>
    </row>
    <row r="11" spans="1:9" x14ac:dyDescent="0.25">
      <c r="A11" s="154"/>
      <c r="B11" s="154"/>
      <c r="C11" s="154"/>
      <c r="D11" s="154"/>
      <c r="E11" s="154"/>
      <c r="F11" s="154"/>
      <c r="G11" s="154"/>
      <c r="H11" s="154"/>
      <c r="I11" s="154"/>
    </row>
    <row r="12" spans="1:9" x14ac:dyDescent="0.25">
      <c r="A12" s="342" t="s">
        <v>6</v>
      </c>
      <c r="B12" s="342" t="s">
        <v>28</v>
      </c>
      <c r="C12" s="342" t="s">
        <v>29</v>
      </c>
      <c r="D12" s="343" t="s">
        <v>30</v>
      </c>
      <c r="E12" s="154"/>
      <c r="F12" s="71" t="s">
        <v>31</v>
      </c>
      <c r="G12" s="71" t="s">
        <v>30</v>
      </c>
      <c r="H12" s="154"/>
      <c r="I12" s="154"/>
    </row>
    <row r="13" spans="1:9" x14ac:dyDescent="0.25">
      <c r="A13" s="344"/>
      <c r="B13" s="345"/>
      <c r="C13" s="345"/>
      <c r="D13" s="346"/>
      <c r="E13" s="154"/>
      <c r="F13" s="71">
        <f>(A2-$A$14)/365</f>
        <v>0.55890410958904113</v>
      </c>
      <c r="G13" s="347">
        <f>D15</f>
        <v>4.5299019187577512E-2</v>
      </c>
      <c r="H13" s="154"/>
      <c r="I13" s="154"/>
    </row>
    <row r="14" spans="1:9" x14ac:dyDescent="0.25">
      <c r="A14" s="348">
        <f>'[1]Slide 46 (4 instruments)'!A14</f>
        <v>45682</v>
      </c>
      <c r="B14" s="349">
        <f>'[1]Slide 46 (4 instruments)'!B14</f>
        <v>0</v>
      </c>
      <c r="C14" s="349"/>
      <c r="D14" s="350"/>
      <c r="E14" s="154"/>
      <c r="F14" s="138">
        <f t="shared" ref="F14:F15" si="0">(A3-$A$14)/365</f>
        <v>0.83287671232876714</v>
      </c>
      <c r="G14" s="351">
        <f>D16</f>
        <v>8.7132575278667468E-2</v>
      </c>
      <c r="H14" s="154"/>
      <c r="I14" s="154"/>
    </row>
    <row r="15" spans="1:9" x14ac:dyDescent="0.25">
      <c r="A15" s="348">
        <f>A2</f>
        <v>45886</v>
      </c>
      <c r="B15" s="349">
        <f>A15-$A$14</f>
        <v>204</v>
      </c>
      <c r="C15" s="349">
        <f>B2</f>
        <v>97.5</v>
      </c>
      <c r="D15" s="350">
        <f>-LN(C15/100)/(B15/365)</f>
        <v>4.5299019187577512E-2</v>
      </c>
      <c r="E15" s="374"/>
      <c r="F15" s="141">
        <f t="shared" si="0"/>
        <v>1.2164383561643837</v>
      </c>
      <c r="G15" s="352">
        <f>D17</f>
        <v>9.5799195795996162E-2</v>
      </c>
      <c r="H15" s="154"/>
      <c r="I15" s="154"/>
    </row>
    <row r="16" spans="1:9" x14ac:dyDescent="0.25">
      <c r="A16" s="348">
        <f>A3</f>
        <v>45986</v>
      </c>
      <c r="B16" s="349">
        <f t="shared" ref="B16:B17" si="1">A16-$A$14</f>
        <v>304</v>
      </c>
      <c r="C16" s="349">
        <f t="shared" ref="C16:C17" si="2">B3</f>
        <v>93</v>
      </c>
      <c r="D16" s="350">
        <f>-LN(C16/100)/(B16/365)</f>
        <v>8.7132575278667468E-2</v>
      </c>
      <c r="E16" s="374"/>
      <c r="F16" s="154"/>
      <c r="G16" s="154"/>
      <c r="H16" s="154"/>
      <c r="I16" s="154"/>
    </row>
    <row r="17" spans="1:9" x14ac:dyDescent="0.25">
      <c r="A17" s="353">
        <f>A4</f>
        <v>46126</v>
      </c>
      <c r="B17" s="354">
        <f t="shared" si="1"/>
        <v>444</v>
      </c>
      <c r="C17" s="354">
        <f t="shared" si="2"/>
        <v>89</v>
      </c>
      <c r="D17" s="355">
        <f>-LN(C17/100)/(B17/365)</f>
        <v>9.5799195795996162E-2</v>
      </c>
      <c r="E17" s="374"/>
      <c r="F17" s="154"/>
      <c r="G17" s="154"/>
      <c r="H17" s="154"/>
      <c r="I17" s="154"/>
    </row>
    <row r="18" spans="1:9" x14ac:dyDescent="0.25">
      <c r="A18" s="154"/>
      <c r="B18" s="154"/>
      <c r="C18" s="154"/>
      <c r="D18" s="154"/>
      <c r="E18" s="154"/>
      <c r="F18" s="154"/>
      <c r="G18" s="154"/>
      <c r="H18" s="154"/>
      <c r="I18" s="154"/>
    </row>
    <row r="19" spans="1:9" x14ac:dyDescent="0.25">
      <c r="A19" s="358" t="s">
        <v>32</v>
      </c>
      <c r="B19" s="155"/>
      <c r="C19" s="155"/>
      <c r="D19" s="155"/>
      <c r="E19" s="155"/>
      <c r="F19" s="155"/>
      <c r="G19" s="155"/>
      <c r="H19" s="155"/>
      <c r="I19" s="155"/>
    </row>
    <row r="20" spans="1:9" x14ac:dyDescent="0.25">
      <c r="A20" s="155" t="s">
        <v>33</v>
      </c>
      <c r="B20" s="155"/>
      <c r="C20" s="155"/>
      <c r="D20" s="155"/>
      <c r="E20" s="155"/>
      <c r="F20" s="155"/>
      <c r="G20" s="155"/>
      <c r="H20" s="155"/>
      <c r="I20" s="155"/>
    </row>
    <row r="21" spans="1:9" x14ac:dyDescent="0.25">
      <c r="A21" s="155" t="s">
        <v>34</v>
      </c>
      <c r="B21" s="155"/>
      <c r="C21" s="155"/>
      <c r="D21" s="155"/>
      <c r="E21" s="155"/>
      <c r="F21" s="155"/>
      <c r="G21" s="155"/>
      <c r="H21" s="155"/>
      <c r="I21" s="155"/>
    </row>
    <row r="22" spans="1:9" x14ac:dyDescent="0.25">
      <c r="A22" s="155"/>
      <c r="B22" s="155"/>
      <c r="C22" s="155"/>
      <c r="D22" s="155"/>
      <c r="E22" s="155"/>
      <c r="F22" s="155"/>
      <c r="G22" s="155"/>
      <c r="H22" s="155"/>
      <c r="I22" s="155"/>
    </row>
    <row r="23" spans="1:9" x14ac:dyDescent="0.25">
      <c r="A23" s="359" t="s">
        <v>6</v>
      </c>
      <c r="B23" s="359" t="s">
        <v>28</v>
      </c>
      <c r="C23" s="359" t="s">
        <v>35</v>
      </c>
      <c r="D23" s="360" t="s">
        <v>36</v>
      </c>
      <c r="E23" s="360" t="s">
        <v>30</v>
      </c>
      <c r="F23" s="360" t="s">
        <v>37</v>
      </c>
      <c r="G23" s="155"/>
      <c r="H23" s="71" t="s">
        <v>31</v>
      </c>
      <c r="I23" s="71" t="s">
        <v>30</v>
      </c>
    </row>
    <row r="24" spans="1:9" x14ac:dyDescent="0.25">
      <c r="A24" s="361">
        <f>EDATE(A26,-6)</f>
        <v>45586</v>
      </c>
      <c r="B24" s="362"/>
      <c r="C24" s="362"/>
      <c r="D24" s="362"/>
      <c r="E24" s="362"/>
      <c r="F24" s="362"/>
      <c r="G24" s="155"/>
      <c r="H24" s="143">
        <f>D25</f>
        <v>0</v>
      </c>
      <c r="I24" s="375">
        <f>I25</f>
        <v>4.5299019187577512E-2</v>
      </c>
    </row>
    <row r="25" spans="1:9" x14ac:dyDescent="0.25">
      <c r="A25" s="364">
        <f>A14</f>
        <v>45682</v>
      </c>
      <c r="B25" s="365">
        <v>0</v>
      </c>
      <c r="C25" s="365"/>
      <c r="D25" s="365">
        <f>(A25-$A$25)/365</f>
        <v>0</v>
      </c>
      <c r="E25" s="366"/>
      <c r="F25" s="365"/>
      <c r="G25" s="155"/>
      <c r="H25" s="146">
        <f>D26</f>
        <v>0.23561643835616439</v>
      </c>
      <c r="I25" s="376">
        <f>E26</f>
        <v>4.5299019187577512E-2</v>
      </c>
    </row>
    <row r="26" spans="1:9" x14ac:dyDescent="0.25">
      <c r="A26" s="364">
        <f>EDATE(A27,-6)</f>
        <v>45768</v>
      </c>
      <c r="B26" s="365">
        <f>A26-$A$25</f>
        <v>86</v>
      </c>
      <c r="C26" s="365">
        <f>$C$5*100/2</f>
        <v>4</v>
      </c>
      <c r="D26" s="365">
        <f t="shared" ref="D26:D29" si="3">(A26-$A$25)/365</f>
        <v>0.23561643835616439</v>
      </c>
      <c r="E26" s="366">
        <f>G13</f>
        <v>4.5299019187577512E-2</v>
      </c>
      <c r="F26" s="365">
        <f>C26*EXP(-D26*E26)</f>
        <v>3.9575342514592866</v>
      </c>
      <c r="G26" s="155"/>
      <c r="H26" s="368">
        <f>F13</f>
        <v>0.55890410958904113</v>
      </c>
      <c r="I26" s="369">
        <f>G13</f>
        <v>4.5299019187577512E-2</v>
      </c>
    </row>
    <row r="27" spans="1:9" x14ac:dyDescent="0.25">
      <c r="A27" s="364">
        <f>EDATE(A28,-6)</f>
        <v>45951</v>
      </c>
      <c r="B27" s="365">
        <f>A27-$A$25</f>
        <v>269</v>
      </c>
      <c r="C27" s="365">
        <f>$C$5*100/2</f>
        <v>4</v>
      </c>
      <c r="D27" s="365">
        <f t="shared" si="3"/>
        <v>0.73698630136986298</v>
      </c>
      <c r="E27" s="366">
        <f>I27</f>
        <v>7.2490830646785978E-2</v>
      </c>
      <c r="F27" s="365">
        <f>C27*EXP(-D27*E27)</f>
        <v>3.791909097617999</v>
      </c>
      <c r="G27" s="155"/>
      <c r="H27" s="146">
        <f>D27</f>
        <v>0.73698630136986298</v>
      </c>
      <c r="I27" s="377">
        <f>((I28-I26)*(H27-H26)/(H28-H26))+I26</f>
        <v>7.2490830646785978E-2</v>
      </c>
    </row>
    <row r="28" spans="1:9" x14ac:dyDescent="0.25">
      <c r="A28" s="364">
        <f>EDATE(A29,-6)</f>
        <v>46133</v>
      </c>
      <c r="B28" s="365">
        <f>A28-$A$25</f>
        <v>451</v>
      </c>
      <c r="C28" s="365">
        <f>$C$5*100/2</f>
        <v>4</v>
      </c>
      <c r="D28" s="365">
        <f t="shared" si="3"/>
        <v>1.2356164383561643</v>
      </c>
      <c r="E28" s="366">
        <f>I30</f>
        <v>9.6122591564433452E-2</v>
      </c>
      <c r="F28" s="365">
        <f>C28*EXP(-D28*E28)</f>
        <v>3.5520457562904499</v>
      </c>
      <c r="G28" s="155"/>
      <c r="H28" s="368">
        <f>F14</f>
        <v>0.83287671232876714</v>
      </c>
      <c r="I28" s="369">
        <f>G14</f>
        <v>8.7132575278667468E-2</v>
      </c>
    </row>
    <row r="29" spans="1:9" x14ac:dyDescent="0.25">
      <c r="A29" s="370">
        <f>A5</f>
        <v>46316</v>
      </c>
      <c r="B29" s="371">
        <f>A29-$A$25</f>
        <v>634</v>
      </c>
      <c r="C29" s="371">
        <f>100+($C$5*100/2)</f>
        <v>104</v>
      </c>
      <c r="D29" s="371">
        <f t="shared" si="3"/>
        <v>1.736986301369863</v>
      </c>
      <c r="E29" s="372">
        <f>I31</f>
        <v>0.10457708093929401</v>
      </c>
      <c r="F29" s="371">
        <f>C29*EXP(-D29*E29)</f>
        <v>86.724978254295081</v>
      </c>
      <c r="G29" s="155"/>
      <c r="H29" s="368">
        <f>F15</f>
        <v>1.2164383561643837</v>
      </c>
      <c r="I29" s="369">
        <f>G15</f>
        <v>9.5799195795996162E-2</v>
      </c>
    </row>
    <row r="30" spans="1:9" x14ac:dyDescent="0.25">
      <c r="A30" s="155"/>
      <c r="B30" s="155"/>
      <c r="C30" s="155"/>
      <c r="D30" s="155"/>
      <c r="E30" s="360" t="s">
        <v>38</v>
      </c>
      <c r="F30" s="360">
        <f>SUM(F26:F29)</f>
        <v>98.026467359662817</v>
      </c>
      <c r="G30" s="155"/>
      <c r="H30" s="146">
        <f>D28</f>
        <v>1.2356164383561643</v>
      </c>
      <c r="I30" s="377">
        <f>((I31-I29)*(H30-H29)/(H31-H29))+I29</f>
        <v>9.6122591564433452E-2</v>
      </c>
    </row>
    <row r="31" spans="1:9" x14ac:dyDescent="0.25">
      <c r="A31" s="155"/>
      <c r="B31" s="155" t="s">
        <v>39</v>
      </c>
      <c r="C31" s="155">
        <f>ACCRINT(A24,A26,A25,C5,100,2,1)</f>
        <v>2.1098901098901099</v>
      </c>
      <c r="D31" s="155"/>
      <c r="E31" s="155"/>
      <c r="F31" s="155"/>
      <c r="G31" s="155"/>
      <c r="H31" s="149">
        <f>D29</f>
        <v>1.736986301369863</v>
      </c>
      <c r="I31" s="378">
        <v>0.10457708093929401</v>
      </c>
    </row>
    <row r="32" spans="1:9" x14ac:dyDescent="0.25">
      <c r="A32" s="155"/>
      <c r="B32" s="155" t="s">
        <v>40</v>
      </c>
      <c r="C32" s="155">
        <f>C31+B5</f>
        <v>98.109890109890117</v>
      </c>
      <c r="D32" s="155"/>
      <c r="E32" s="155"/>
      <c r="F32" s="155"/>
      <c r="G32" s="155"/>
      <c r="H32" s="155"/>
      <c r="I32" s="155"/>
    </row>
    <row r="33" spans="1:9" x14ac:dyDescent="0.25">
      <c r="A33" s="358"/>
      <c r="B33" s="155"/>
      <c r="C33" s="155"/>
      <c r="D33" s="155"/>
      <c r="E33" s="155"/>
      <c r="F33" s="155"/>
      <c r="G33" s="155"/>
      <c r="H33" s="155"/>
      <c r="I33" s="155"/>
    </row>
    <row r="34" spans="1:9" x14ac:dyDescent="0.25">
      <c r="A34" s="358"/>
      <c r="B34" s="155"/>
      <c r="C34" s="155"/>
      <c r="D34" s="155"/>
      <c r="E34" s="155"/>
      <c r="F34" s="155"/>
      <c r="G34" s="155"/>
      <c r="H34" s="155"/>
      <c r="I34" s="155"/>
    </row>
    <row r="35" spans="1:9" x14ac:dyDescent="0.25">
      <c r="A35" s="155"/>
      <c r="B35" s="155"/>
      <c r="C35" s="155"/>
      <c r="D35" s="155"/>
      <c r="E35" s="155"/>
      <c r="F35" s="155"/>
      <c r="G35" s="155"/>
      <c r="H35" s="155"/>
      <c r="I35" s="155"/>
    </row>
    <row r="36" spans="1:9" x14ac:dyDescent="0.25">
      <c r="A36" s="359" t="s">
        <v>6</v>
      </c>
      <c r="B36" s="359" t="s">
        <v>28</v>
      </c>
      <c r="C36" s="359" t="s">
        <v>35</v>
      </c>
      <c r="D36" s="360" t="s">
        <v>36</v>
      </c>
      <c r="E36" s="360" t="s">
        <v>30</v>
      </c>
      <c r="F36" s="360" t="s">
        <v>37</v>
      </c>
      <c r="G36" s="155"/>
      <c r="H36" s="71" t="s">
        <v>31</v>
      </c>
      <c r="I36" s="71" t="s">
        <v>30</v>
      </c>
    </row>
    <row r="37" spans="1:9" x14ac:dyDescent="0.25">
      <c r="A37" s="361">
        <f>EDATE(A39,-6)</f>
        <v>45502</v>
      </c>
      <c r="B37" s="362"/>
      <c r="C37" s="362"/>
      <c r="D37" s="362"/>
      <c r="E37" s="362"/>
      <c r="F37" s="362"/>
      <c r="G37" s="155"/>
      <c r="H37" s="379">
        <f>H24</f>
        <v>0</v>
      </c>
      <c r="I37" s="380">
        <f>I38</f>
        <v>4.5299019187577512E-2</v>
      </c>
    </row>
    <row r="38" spans="1:9" x14ac:dyDescent="0.25">
      <c r="A38" s="364">
        <f>A14</f>
        <v>45682</v>
      </c>
      <c r="B38" s="365">
        <v>0</v>
      </c>
      <c r="C38" s="365"/>
      <c r="D38" s="365">
        <f>(A38-$A$38)/365</f>
        <v>0</v>
      </c>
      <c r="E38" s="366"/>
      <c r="F38" s="365"/>
      <c r="G38" s="155"/>
      <c r="H38" s="138">
        <f>D39</f>
        <v>1.0958904109589041E-2</v>
      </c>
      <c r="I38" s="381">
        <f>I39</f>
        <v>4.5299019187577512E-2</v>
      </c>
    </row>
    <row r="39" spans="1:9" x14ac:dyDescent="0.25">
      <c r="A39" s="364">
        <f>EDATE(A40,-6)</f>
        <v>45686</v>
      </c>
      <c r="B39" s="365">
        <f>A39-$A$38</f>
        <v>4</v>
      </c>
      <c r="C39" s="365">
        <f>$C$6*100/2</f>
        <v>6</v>
      </c>
      <c r="D39" s="365">
        <f t="shared" ref="D39:D43" si="4">(A39-$A$38)/365</f>
        <v>1.0958904109589041E-2</v>
      </c>
      <c r="E39" s="366">
        <f>I38</f>
        <v>4.5299019187577512E-2</v>
      </c>
      <c r="F39" s="365">
        <f>C39*EXP(-D39*E39)</f>
        <v>5.9970221735535736</v>
      </c>
      <c r="G39" s="155"/>
      <c r="H39" s="382">
        <f>H25</f>
        <v>0.23561643835616439</v>
      </c>
      <c r="I39" s="383">
        <f>I25</f>
        <v>4.5299019187577512E-2</v>
      </c>
    </row>
    <row r="40" spans="1:9" x14ac:dyDescent="0.25">
      <c r="A40" s="364">
        <f>EDATE(A41,-6)</f>
        <v>45867</v>
      </c>
      <c r="B40" s="365">
        <f>A40-$A$38</f>
        <v>185</v>
      </c>
      <c r="C40" s="365">
        <f>$C$6*100/2</f>
        <v>6</v>
      </c>
      <c r="D40" s="365">
        <f t="shared" si="4"/>
        <v>0.50684931506849318</v>
      </c>
      <c r="E40" s="366">
        <f>I40</f>
        <v>4.5299019187577512E-2</v>
      </c>
      <c r="F40" s="365">
        <f>C40*EXP(-D40*E40)</f>
        <v>5.8638107588447212</v>
      </c>
      <c r="G40" s="155"/>
      <c r="H40" s="60">
        <f>D40</f>
        <v>0.50684931506849318</v>
      </c>
      <c r="I40" s="377">
        <f>((I41-I39)*(H40-H39)/(H41-H39))+I39</f>
        <v>4.5299019187577512E-2</v>
      </c>
    </row>
    <row r="41" spans="1:9" x14ac:dyDescent="0.25">
      <c r="A41" s="364">
        <f>EDATE(A42,-6)</f>
        <v>46051</v>
      </c>
      <c r="B41" s="365">
        <f>A41-$A$38</f>
        <v>369</v>
      </c>
      <c r="C41" s="365">
        <f>$C$6*100/2</f>
        <v>6</v>
      </c>
      <c r="D41" s="365">
        <f t="shared" si="4"/>
        <v>1.010958904109589</v>
      </c>
      <c r="E41" s="366">
        <f>I44</f>
        <v>9.1156363375998639E-2</v>
      </c>
      <c r="F41" s="365">
        <f>C41*EXP(-D41*E41)</f>
        <v>5.4717808600171463</v>
      </c>
      <c r="G41" s="155"/>
      <c r="H41" s="382">
        <f t="shared" ref="H41:I43" si="5">H26</f>
        <v>0.55890410958904113</v>
      </c>
      <c r="I41" s="383">
        <f t="shared" si="5"/>
        <v>4.5299019187577512E-2</v>
      </c>
    </row>
    <row r="42" spans="1:9" x14ac:dyDescent="0.25">
      <c r="A42" s="364">
        <f>EDATE(A43,-6)</f>
        <v>46232</v>
      </c>
      <c r="B42" s="365">
        <f>A42-$A$38</f>
        <v>550</v>
      </c>
      <c r="C42" s="365">
        <f>$C$6*100/2</f>
        <v>6</v>
      </c>
      <c r="D42" s="365">
        <f t="shared" si="4"/>
        <v>1.5068493150684932</v>
      </c>
      <c r="E42" s="366">
        <f>I47</f>
        <v>0.10069633171804654</v>
      </c>
      <c r="F42" s="365">
        <f>C42*EXP(-D42*E42)</f>
        <v>5.1552997888745686</v>
      </c>
      <c r="G42" s="155"/>
      <c r="H42" s="382">
        <f t="shared" si="5"/>
        <v>0.73698630136986298</v>
      </c>
      <c r="I42" s="383">
        <f t="shared" si="5"/>
        <v>7.2490830646785978E-2</v>
      </c>
    </row>
    <row r="43" spans="1:9" x14ac:dyDescent="0.25">
      <c r="A43" s="370">
        <f>A6</f>
        <v>46416</v>
      </c>
      <c r="B43" s="371">
        <f>A43-$A$38</f>
        <v>734</v>
      </c>
      <c r="C43" s="371">
        <f>100+($C$6*100/2)</f>
        <v>106</v>
      </c>
      <c r="D43" s="371">
        <f t="shared" si="4"/>
        <v>2.010958904109589</v>
      </c>
      <c r="E43" s="372">
        <f>I49</f>
        <v>0.10989994075519438</v>
      </c>
      <c r="F43" s="371">
        <f>C43*EXP(-D43*E43)</f>
        <v>84.981605712493177</v>
      </c>
      <c r="G43" s="155"/>
      <c r="H43" s="382">
        <f t="shared" si="5"/>
        <v>0.83287671232876714</v>
      </c>
      <c r="I43" s="369">
        <f t="shared" si="5"/>
        <v>8.7132575278667468E-2</v>
      </c>
    </row>
    <row r="44" spans="1:9" x14ac:dyDescent="0.25">
      <c r="A44" s="155"/>
      <c r="B44" s="155"/>
      <c r="C44" s="155"/>
      <c r="D44" s="155"/>
      <c r="E44" s="360" t="s">
        <v>38</v>
      </c>
      <c r="F44" s="360">
        <f>SUM(F39:F43)</f>
        <v>107.46951929378319</v>
      </c>
      <c r="G44" s="155"/>
      <c r="H44" s="138">
        <f>D41</f>
        <v>1.010958904109589</v>
      </c>
      <c r="I44" s="377">
        <f>((I45-I43)*(H44-H43)/(H45-H43))+I43</f>
        <v>9.1156363375998639E-2</v>
      </c>
    </row>
    <row r="45" spans="1:9" x14ac:dyDescent="0.25">
      <c r="A45" s="155"/>
      <c r="B45" s="155" t="s">
        <v>39</v>
      </c>
      <c r="C45" s="155">
        <f>ACCRINT(A37,A39,A38,C6,100,2,1)</f>
        <v>5.8695652173913047</v>
      </c>
      <c r="D45" s="155"/>
      <c r="E45" s="155"/>
      <c r="F45" s="155"/>
      <c r="G45" s="155"/>
      <c r="H45" s="382">
        <f>H29</f>
        <v>1.2164383561643837</v>
      </c>
      <c r="I45" s="383">
        <f>I29</f>
        <v>9.5799195795996162E-2</v>
      </c>
    </row>
    <row r="46" spans="1:9" x14ac:dyDescent="0.25">
      <c r="A46" s="155"/>
      <c r="B46" s="155" t="s">
        <v>40</v>
      </c>
      <c r="C46" s="155">
        <f>C45+B6</f>
        <v>107.46956521739131</v>
      </c>
      <c r="D46" s="155"/>
      <c r="E46" s="155"/>
      <c r="F46" s="155"/>
      <c r="G46" s="155"/>
      <c r="H46" s="382">
        <f>H30</f>
        <v>1.2356164383561643</v>
      </c>
      <c r="I46" s="383">
        <f>I30</f>
        <v>9.6122591564433452E-2</v>
      </c>
    </row>
    <row r="47" spans="1:9" x14ac:dyDescent="0.25">
      <c r="A47" s="358"/>
      <c r="B47" s="155"/>
      <c r="C47" s="155"/>
      <c r="D47" s="155"/>
      <c r="E47" s="155"/>
      <c r="F47" s="155"/>
      <c r="G47" s="155"/>
      <c r="H47" s="138">
        <f>D42</f>
        <v>1.5068493150684932</v>
      </c>
      <c r="I47" s="377">
        <f>((I48-I46)*(H47-H46)/(H48-H46))+I46</f>
        <v>0.10069633171804654</v>
      </c>
    </row>
    <row r="48" spans="1:9" x14ac:dyDescent="0.25">
      <c r="A48" s="358"/>
      <c r="B48" s="155"/>
      <c r="C48" s="155"/>
      <c r="D48" s="155"/>
      <c r="E48" s="155"/>
      <c r="F48" s="155"/>
      <c r="G48" s="155"/>
      <c r="H48" s="382">
        <f>H31</f>
        <v>1.736986301369863</v>
      </c>
      <c r="I48" s="383">
        <f>I31</f>
        <v>0.10457708093929401</v>
      </c>
    </row>
    <row r="49" spans="1:9" x14ac:dyDescent="0.25">
      <c r="A49" s="155"/>
      <c r="B49" s="155"/>
      <c r="C49" s="155"/>
      <c r="D49" s="155"/>
      <c r="E49" s="155"/>
      <c r="F49" s="155"/>
      <c r="G49" s="155"/>
      <c r="H49" s="141">
        <f>D43</f>
        <v>2.010958904109589</v>
      </c>
      <c r="I49" s="378">
        <v>0.10989994075519438</v>
      </c>
    </row>
    <row r="50" spans="1:9" x14ac:dyDescent="0.25">
      <c r="A50" s="155"/>
      <c r="B50" s="155"/>
      <c r="C50" s="155"/>
      <c r="D50" s="155"/>
      <c r="E50" s="155"/>
      <c r="F50" s="155"/>
      <c r="G50" s="155"/>
      <c r="H50" s="155"/>
      <c r="I50" s="155"/>
    </row>
  </sheetData>
  <pageMargins left="0.75" right="0.75" top="1" bottom="1" header="0.5" footer="0.5"/>
  <pageSetup orientation="portrait" r:id="rId1"/>
  <headerFooter alignWithMargins="0"/>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F425-49AF-458E-878C-6387DB0503A1}">
  <dimension ref="A1:B4"/>
  <sheetViews>
    <sheetView workbookViewId="0">
      <selection activeCell="F11" sqref="F11"/>
    </sheetView>
  </sheetViews>
  <sheetFormatPr baseColWidth="10" defaultColWidth="9.21875" defaultRowHeight="13.2" x14ac:dyDescent="0.25"/>
  <cols>
    <col min="1" max="1" width="9.21875" style="68"/>
    <col min="2" max="2" width="23.5546875" style="68" bestFit="1" customWidth="1"/>
    <col min="3" max="3" width="20.21875" style="68" bestFit="1" customWidth="1"/>
    <col min="4" max="4" width="17" style="68" bestFit="1" customWidth="1"/>
    <col min="5" max="5" width="10.5546875" style="68" customWidth="1"/>
    <col min="6" max="6" width="27.21875" style="68" bestFit="1" customWidth="1"/>
    <col min="7" max="7" width="15.21875" style="68" bestFit="1" customWidth="1"/>
    <col min="8" max="16384" width="9.21875" style="68"/>
  </cols>
  <sheetData>
    <row r="1" spans="1:2" x14ac:dyDescent="0.25">
      <c r="A1" s="68" t="s">
        <v>674</v>
      </c>
      <c r="B1" s="68" t="s">
        <v>675</v>
      </c>
    </row>
    <row r="2" spans="1:2" x14ac:dyDescent="0.25">
      <c r="A2" s="68" t="s">
        <v>676</v>
      </c>
      <c r="B2" s="68" t="s">
        <v>677</v>
      </c>
    </row>
    <row r="3" spans="1:2" x14ac:dyDescent="0.25">
      <c r="A3" s="68" t="s">
        <v>678</v>
      </c>
      <c r="B3" s="68" t="s">
        <v>679</v>
      </c>
    </row>
    <row r="4" spans="1:2" x14ac:dyDescent="0.25">
      <c r="A4" s="68" t="s">
        <v>680</v>
      </c>
      <c r="B4" s="68" t="s">
        <v>681</v>
      </c>
    </row>
  </sheetData>
  <pageMargins left="0.75" right="0.75" top="1" bottom="1" header="0.5" footer="0.5"/>
  <pageSetup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384A-B45F-4868-BF69-944DA6BF65DB}">
  <dimension ref="B1:J14"/>
  <sheetViews>
    <sheetView workbookViewId="0">
      <selection activeCell="L19" sqref="L19"/>
    </sheetView>
  </sheetViews>
  <sheetFormatPr baseColWidth="10" defaultColWidth="9.21875" defaultRowHeight="13.2" x14ac:dyDescent="0.25"/>
  <cols>
    <col min="1" max="1" width="9.21875" style="68"/>
    <col min="2" max="2" width="9.21875" style="68" bestFit="1" customWidth="1"/>
    <col min="3" max="3" width="8.88671875" style="68" bestFit="1" customWidth="1"/>
    <col min="4" max="4" width="12.88671875" style="68" bestFit="1" customWidth="1"/>
    <col min="5" max="5" width="10.5546875" style="68" customWidth="1"/>
    <col min="6" max="6" width="3.109375" style="68" customWidth="1"/>
    <col min="7" max="7" width="15.21875" style="68" bestFit="1" customWidth="1"/>
    <col min="8" max="8" width="2.77734375" style="68" customWidth="1"/>
    <col min="9" max="16384" width="9.21875" style="68"/>
  </cols>
  <sheetData>
    <row r="1" spans="2:10" x14ac:dyDescent="0.25">
      <c r="B1" s="77" t="s">
        <v>148</v>
      </c>
      <c r="C1" s="77" t="s">
        <v>48</v>
      </c>
      <c r="D1" s="119" t="s">
        <v>149</v>
      </c>
    </row>
    <row r="2" spans="2:10" x14ac:dyDescent="0.25">
      <c r="B2" s="70">
        <v>1</v>
      </c>
      <c r="C2" s="120">
        <v>0.03</v>
      </c>
      <c r="D2" s="121">
        <f>EXP(-B2*C2)</f>
        <v>0.97044553354850815</v>
      </c>
      <c r="E2" s="68" t="s">
        <v>150</v>
      </c>
    </row>
    <row r="3" spans="2:10" x14ac:dyDescent="0.25">
      <c r="B3" s="83">
        <v>3</v>
      </c>
      <c r="C3" s="122">
        <v>4.4999999999999998E-2</v>
      </c>
      <c r="D3" s="123">
        <f>EXP(-B3*C3)</f>
        <v>0.87371591168803442</v>
      </c>
      <c r="E3" s="68" t="s">
        <v>151</v>
      </c>
    </row>
    <row r="14" spans="2:10" x14ac:dyDescent="0.25">
      <c r="F14" s="68">
        <v>0</v>
      </c>
      <c r="H14" s="68">
        <v>1</v>
      </c>
      <c r="J14" s="68">
        <v>3</v>
      </c>
    </row>
  </sheetData>
  <pageMargins left="0.75" right="0.75" top="1" bottom="1" header="0.5" footer="0.5"/>
  <pageSetup orientation="portrait"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BA62-1315-45D1-8BD6-E864098D3689}">
  <dimension ref="B1:J27"/>
  <sheetViews>
    <sheetView workbookViewId="0">
      <selection activeCell="K22" sqref="K22"/>
    </sheetView>
  </sheetViews>
  <sheetFormatPr baseColWidth="10" defaultColWidth="9.21875" defaultRowHeight="13.2" x14ac:dyDescent="0.25"/>
  <cols>
    <col min="1" max="1" width="9.21875" style="68"/>
    <col min="2" max="2" width="9.21875" style="68" bestFit="1" customWidth="1"/>
    <col min="3" max="3" width="8.88671875" style="68" bestFit="1" customWidth="1"/>
    <col min="4" max="4" width="12.88671875" style="68" bestFit="1" customWidth="1"/>
    <col min="5" max="5" width="10.5546875" style="68" customWidth="1"/>
    <col min="6" max="6" width="3.109375" style="68" customWidth="1"/>
    <col min="7" max="7" width="15.21875" style="68" bestFit="1" customWidth="1"/>
    <col min="8" max="8" width="2.77734375" style="68" customWidth="1"/>
    <col min="9" max="16384" width="9.21875" style="68"/>
  </cols>
  <sheetData>
    <row r="1" spans="2:10" x14ac:dyDescent="0.25">
      <c r="B1" s="77" t="s">
        <v>148</v>
      </c>
      <c r="C1" s="77" t="s">
        <v>48</v>
      </c>
      <c r="D1" s="119" t="s">
        <v>149</v>
      </c>
    </row>
    <row r="2" spans="2:10" x14ac:dyDescent="0.25">
      <c r="B2" s="70">
        <v>1</v>
      </c>
      <c r="C2" s="120">
        <v>0.03</v>
      </c>
      <c r="D2" s="121">
        <f>EXP(-B2*C2)</f>
        <v>0.97044553354850815</v>
      </c>
      <c r="E2" s="68" t="s">
        <v>150</v>
      </c>
    </row>
    <row r="3" spans="2:10" x14ac:dyDescent="0.25">
      <c r="B3" s="83">
        <v>3</v>
      </c>
      <c r="C3" s="122">
        <v>4.4999999999999998E-2</v>
      </c>
      <c r="D3" s="123">
        <f>EXP(-B3*C3)</f>
        <v>0.87371591168803442</v>
      </c>
      <c r="E3" s="68" t="s">
        <v>151</v>
      </c>
    </row>
    <row r="14" spans="2:10" x14ac:dyDescent="0.25">
      <c r="F14" s="68">
        <v>0</v>
      </c>
      <c r="H14" s="68">
        <v>1</v>
      </c>
      <c r="J14" s="68">
        <v>3</v>
      </c>
    </row>
    <row r="20" spans="4:6" x14ac:dyDescent="0.25">
      <c r="D20" s="68" t="s">
        <v>152</v>
      </c>
    </row>
    <row r="21" spans="4:6" x14ac:dyDescent="0.25">
      <c r="D21" s="68" t="s">
        <v>153</v>
      </c>
    </row>
    <row r="22" spans="4:6" x14ac:dyDescent="0.25">
      <c r="D22" s="68" t="s">
        <v>154</v>
      </c>
    </row>
    <row r="23" spans="4:6" x14ac:dyDescent="0.25">
      <c r="D23" s="68" t="s">
        <v>155</v>
      </c>
    </row>
    <row r="24" spans="4:6" x14ac:dyDescent="0.25">
      <c r="D24" s="68" t="s">
        <v>156</v>
      </c>
    </row>
    <row r="25" spans="4:6" x14ac:dyDescent="0.25">
      <c r="F25" s="68" t="s">
        <v>157</v>
      </c>
    </row>
    <row r="26" spans="4:6" x14ac:dyDescent="0.25">
      <c r="F26" s="68" t="s">
        <v>158</v>
      </c>
    </row>
    <row r="27" spans="4:6" x14ac:dyDescent="0.25">
      <c r="F27" s="68" t="s">
        <v>159</v>
      </c>
    </row>
  </sheetData>
  <pageMargins left="0.75" right="0.75" top="1" bottom="1" header="0.5" footer="0.5"/>
  <pageSetup orientation="portrait"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9931-8E15-43B2-B0A6-EFBB8C1823DA}">
  <dimension ref="F11:J19"/>
  <sheetViews>
    <sheetView workbookViewId="0">
      <selection activeCell="P15" sqref="P15"/>
    </sheetView>
  </sheetViews>
  <sheetFormatPr baseColWidth="10" defaultColWidth="9.21875" defaultRowHeight="13.2" x14ac:dyDescent="0.25"/>
  <cols>
    <col min="1" max="1" width="9.21875" style="68"/>
    <col min="2" max="2" width="9.21875" style="68" bestFit="1" customWidth="1"/>
    <col min="3" max="3" width="8.88671875" style="68" bestFit="1" customWidth="1"/>
    <col min="4" max="4" width="12.88671875" style="68" bestFit="1" customWidth="1"/>
    <col min="5" max="5" width="10.5546875" style="68" customWidth="1"/>
    <col min="6" max="6" width="3.109375" style="68" customWidth="1"/>
    <col min="7" max="7" width="15.21875" style="68" bestFit="1" customWidth="1"/>
    <col min="8" max="8" width="2.77734375" style="68" customWidth="1"/>
    <col min="9" max="16384" width="9.21875" style="68"/>
  </cols>
  <sheetData>
    <row r="11" spans="6:10" x14ac:dyDescent="0.25">
      <c r="F11" s="68">
        <v>0</v>
      </c>
      <c r="H11" s="68" t="s">
        <v>160</v>
      </c>
      <c r="J11" s="68" t="s">
        <v>161</v>
      </c>
    </row>
    <row r="19" spans="6:10" x14ac:dyDescent="0.25">
      <c r="F19" s="86"/>
      <c r="G19" s="86" t="s">
        <v>162</v>
      </c>
      <c r="H19" s="86"/>
      <c r="I19" s="86"/>
      <c r="J19" s="86"/>
    </row>
  </sheetData>
  <pageMargins left="0.75" right="0.75" top="1" bottom="1" header="0.5" footer="0.5"/>
  <pageSetup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CB12-2343-411D-B6E4-2948274CFF26}">
  <dimension ref="A1:F23"/>
  <sheetViews>
    <sheetView zoomScale="148" zoomScaleNormal="148" workbookViewId="0">
      <selection activeCell="F20" sqref="F20"/>
    </sheetView>
  </sheetViews>
  <sheetFormatPr baseColWidth="10" defaultColWidth="9.21875" defaultRowHeight="13.2" x14ac:dyDescent="0.25"/>
  <cols>
    <col min="1" max="1" width="12.44140625" style="42" customWidth="1"/>
    <col min="2" max="2" width="12.77734375" style="42" customWidth="1"/>
    <col min="3" max="3" width="12.5546875" style="42" bestFit="1" customWidth="1"/>
    <col min="4" max="6" width="9.21875" style="42"/>
    <col min="7" max="7" width="5.21875" style="42" bestFit="1" customWidth="1"/>
    <col min="8" max="8" width="10.77734375" style="42" bestFit="1" customWidth="1"/>
    <col min="9" max="9" width="10.44140625" style="42" bestFit="1" customWidth="1"/>
    <col min="10" max="16384" width="9.21875" style="42"/>
  </cols>
  <sheetData>
    <row r="1" spans="1:6" x14ac:dyDescent="0.25">
      <c r="A1" s="384" t="s">
        <v>49</v>
      </c>
      <c r="B1" s="385"/>
      <c r="C1" s="385"/>
      <c r="D1" s="385"/>
      <c r="E1" s="386"/>
      <c r="F1" s="235"/>
    </row>
    <row r="2" spans="1:6" x14ac:dyDescent="0.25">
      <c r="A2" s="210" t="s">
        <v>50</v>
      </c>
      <c r="B2" s="21" t="s">
        <v>51</v>
      </c>
      <c r="C2" s="210" t="s">
        <v>52</v>
      </c>
      <c r="D2" s="86"/>
      <c r="E2" s="387"/>
      <c r="F2" s="254"/>
    </row>
    <row r="3" spans="1:6" x14ac:dyDescent="0.25">
      <c r="A3" s="388">
        <v>1</v>
      </c>
      <c r="B3" s="22">
        <v>0.03</v>
      </c>
      <c r="C3" s="244"/>
      <c r="D3" s="86"/>
      <c r="E3" s="387"/>
      <c r="F3" s="254"/>
    </row>
    <row r="4" spans="1:6" x14ac:dyDescent="0.25">
      <c r="A4" s="389">
        <v>3</v>
      </c>
      <c r="B4" s="23">
        <v>4.4999999999999998E-2</v>
      </c>
      <c r="C4" s="390"/>
      <c r="D4" s="86"/>
      <c r="E4" s="387"/>
      <c r="F4" s="254"/>
    </row>
    <row r="5" spans="1:6" x14ac:dyDescent="0.25">
      <c r="A5" s="391"/>
      <c r="B5" s="86"/>
      <c r="C5" s="86"/>
      <c r="D5" s="86"/>
      <c r="E5" s="387"/>
      <c r="F5" s="254"/>
    </row>
    <row r="6" spans="1:6" x14ac:dyDescent="0.25">
      <c r="A6" s="392" t="s">
        <v>53</v>
      </c>
      <c r="B6" s="393"/>
      <c r="C6" s="393"/>
      <c r="D6" s="393"/>
      <c r="E6" s="394"/>
    </row>
    <row r="7" spans="1:6" x14ac:dyDescent="0.25">
      <c r="A7" s="395" t="s">
        <v>54</v>
      </c>
      <c r="B7" s="395" t="s">
        <v>52</v>
      </c>
      <c r="C7" s="395" t="s">
        <v>30</v>
      </c>
      <c r="D7" s="208"/>
      <c r="E7" s="396"/>
    </row>
    <row r="8" spans="1:6" x14ac:dyDescent="0.25">
      <c r="A8" s="397">
        <v>1</v>
      </c>
      <c r="B8" s="398">
        <v>0.95</v>
      </c>
      <c r="C8" s="109"/>
      <c r="D8" s="208"/>
      <c r="E8" s="396"/>
    </row>
    <row r="9" spans="1:6" x14ac:dyDescent="0.25">
      <c r="A9" s="399">
        <v>1.5</v>
      </c>
      <c r="B9" s="400">
        <v>0.88</v>
      </c>
      <c r="C9" s="110"/>
      <c r="D9" s="208"/>
      <c r="E9" s="396"/>
    </row>
    <row r="10" spans="1:6" x14ac:dyDescent="0.25">
      <c r="A10" s="401">
        <v>5</v>
      </c>
      <c r="B10" s="402">
        <v>0.85</v>
      </c>
      <c r="C10" s="111"/>
      <c r="D10" s="208"/>
      <c r="E10" s="396"/>
    </row>
    <row r="11" spans="1:6" x14ac:dyDescent="0.25">
      <c r="A11" s="403"/>
      <c r="B11" s="404"/>
      <c r="C11" s="404"/>
      <c r="D11" s="404"/>
      <c r="E11" s="405"/>
    </row>
    <row r="12" spans="1:6" x14ac:dyDescent="0.25">
      <c r="A12" s="406" t="s">
        <v>55</v>
      </c>
      <c r="B12" s="407"/>
      <c r="C12" s="407"/>
      <c r="D12" s="407"/>
      <c r="E12" s="408"/>
    </row>
    <row r="13" spans="1:6" x14ac:dyDescent="0.25">
      <c r="A13" s="409" t="s">
        <v>54</v>
      </c>
      <c r="B13" s="409" t="s">
        <v>30</v>
      </c>
      <c r="C13" s="409" t="s">
        <v>56</v>
      </c>
      <c r="D13" s="409" t="s">
        <v>57</v>
      </c>
      <c r="E13" s="410"/>
    </row>
    <row r="14" spans="1:6" x14ac:dyDescent="0.25">
      <c r="A14" s="121">
        <v>1</v>
      </c>
      <c r="B14" s="112">
        <v>5.1293294387550578E-2</v>
      </c>
      <c r="C14" s="121">
        <f>EXP(-B14*A14)</f>
        <v>0.95</v>
      </c>
      <c r="D14" s="113"/>
      <c r="E14" s="410"/>
    </row>
    <row r="15" spans="1:6" x14ac:dyDescent="0.25">
      <c r="A15" s="411">
        <v>1.5</v>
      </c>
      <c r="B15" s="114">
        <v>8.522224767325659E-2</v>
      </c>
      <c r="C15" s="411">
        <f t="shared" ref="C15:C16" si="0">EXP(-B15*A15)</f>
        <v>0.88</v>
      </c>
      <c r="D15" s="115"/>
      <c r="E15" s="410"/>
    </row>
    <row r="16" spans="1:6" x14ac:dyDescent="0.25">
      <c r="A16" s="123">
        <v>5</v>
      </c>
      <c r="B16" s="116">
        <v>3.2503785899554986E-2</v>
      </c>
      <c r="C16" s="123">
        <f t="shared" si="0"/>
        <v>0.85</v>
      </c>
      <c r="D16" s="123"/>
      <c r="E16" s="410"/>
    </row>
    <row r="17" spans="1:6" x14ac:dyDescent="0.25">
      <c r="A17" s="412"/>
      <c r="B17" s="413"/>
      <c r="C17" s="413"/>
      <c r="D17" s="413"/>
      <c r="E17" s="414"/>
      <c r="F17" s="254"/>
    </row>
    <row r="18" spans="1:6" x14ac:dyDescent="0.25">
      <c r="A18" s="415" t="s">
        <v>58</v>
      </c>
      <c r="B18" s="416"/>
      <c r="C18" s="416"/>
      <c r="D18" s="416"/>
      <c r="E18" s="417"/>
      <c r="F18" s="254"/>
    </row>
    <row r="19" spans="1:6" x14ac:dyDescent="0.25">
      <c r="A19" s="418" t="s">
        <v>54</v>
      </c>
      <c r="B19" s="418" t="s">
        <v>56</v>
      </c>
      <c r="C19" s="419" t="s">
        <v>57</v>
      </c>
      <c r="D19" s="416"/>
      <c r="E19" s="417"/>
      <c r="F19" s="254"/>
    </row>
    <row r="20" spans="1:6" x14ac:dyDescent="0.25">
      <c r="A20" s="420">
        <v>1</v>
      </c>
      <c r="B20" s="421">
        <v>0.95</v>
      </c>
      <c r="C20" s="117"/>
      <c r="D20" s="416"/>
      <c r="E20" s="417"/>
      <c r="F20" s="254"/>
    </row>
    <row r="21" spans="1:6" x14ac:dyDescent="0.25">
      <c r="A21" s="422">
        <v>1.5</v>
      </c>
      <c r="B21" s="423">
        <v>0.88</v>
      </c>
      <c r="C21" s="118"/>
      <c r="D21" s="416"/>
      <c r="E21" s="417"/>
      <c r="F21" s="254"/>
    </row>
    <row r="22" spans="1:6" x14ac:dyDescent="0.25">
      <c r="A22" s="424">
        <v>5</v>
      </c>
      <c r="B22" s="425">
        <v>0.85</v>
      </c>
      <c r="C22" s="424"/>
      <c r="D22" s="416"/>
      <c r="E22" s="417"/>
      <c r="F22" s="254"/>
    </row>
    <row r="23" spans="1:6" x14ac:dyDescent="0.25">
      <c r="A23" s="426"/>
      <c r="B23" s="427"/>
      <c r="C23" s="427"/>
      <c r="D23" s="427"/>
      <c r="E23" s="427"/>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849E-65AC-4B1F-A9BC-17D76CA2E540}">
  <dimension ref="A1:F23"/>
  <sheetViews>
    <sheetView zoomScale="160" zoomScaleNormal="160" workbookViewId="0">
      <selection activeCell="C3" sqref="C3"/>
    </sheetView>
  </sheetViews>
  <sheetFormatPr baseColWidth="10" defaultColWidth="9.21875" defaultRowHeight="13.2" x14ac:dyDescent="0.25"/>
  <cols>
    <col min="1" max="1" width="12.44140625" style="42" customWidth="1"/>
    <col min="2" max="2" width="12.77734375" style="42" customWidth="1"/>
    <col min="3" max="3" width="12.5546875" style="42" bestFit="1" customWidth="1"/>
    <col min="4" max="6" width="9.21875" style="42"/>
    <col min="7" max="7" width="5.21875" style="42" bestFit="1" customWidth="1"/>
    <col min="8" max="8" width="10.77734375" style="42" bestFit="1" customWidth="1"/>
    <col min="9" max="9" width="10.44140625" style="42" bestFit="1" customWidth="1"/>
    <col min="10" max="16384" width="9.21875" style="42"/>
  </cols>
  <sheetData>
    <row r="1" spans="1:6" x14ac:dyDescent="0.25">
      <c r="A1" s="384" t="s">
        <v>49</v>
      </c>
      <c r="B1" s="385"/>
      <c r="C1" s="385"/>
      <c r="D1" s="385"/>
      <c r="E1" s="386"/>
      <c r="F1" s="235"/>
    </row>
    <row r="2" spans="1:6" x14ac:dyDescent="0.25">
      <c r="A2" s="210" t="s">
        <v>50</v>
      </c>
      <c r="B2" s="21" t="s">
        <v>51</v>
      </c>
      <c r="C2" s="210" t="s">
        <v>52</v>
      </c>
      <c r="D2" s="86"/>
      <c r="E2" s="387"/>
      <c r="F2" s="254"/>
    </row>
    <row r="3" spans="1:6" x14ac:dyDescent="0.25">
      <c r="A3" s="388">
        <v>1</v>
      </c>
      <c r="B3" s="22">
        <v>0.03</v>
      </c>
      <c r="C3" s="244">
        <f>EXP(-B3*A3)</f>
        <v>0.97044553354850815</v>
      </c>
      <c r="D3" s="86"/>
      <c r="E3" s="387"/>
      <c r="F3" s="254"/>
    </row>
    <row r="4" spans="1:6" x14ac:dyDescent="0.25">
      <c r="A4" s="389">
        <v>3</v>
      </c>
      <c r="B4" s="23">
        <v>4.4999999999999998E-2</v>
      </c>
      <c r="C4" s="390">
        <f>EXP(-B4*A4)</f>
        <v>0.87371591168803442</v>
      </c>
      <c r="D4" s="86"/>
      <c r="E4" s="387"/>
      <c r="F4" s="254"/>
    </row>
    <row r="5" spans="1:6" x14ac:dyDescent="0.25">
      <c r="A5" s="391"/>
      <c r="B5" s="86"/>
      <c r="C5" s="86"/>
      <c r="D5" s="86"/>
      <c r="E5" s="387"/>
      <c r="F5" s="254"/>
    </row>
    <row r="6" spans="1:6" x14ac:dyDescent="0.25">
      <c r="A6" s="392" t="s">
        <v>53</v>
      </c>
      <c r="B6" s="393"/>
      <c r="C6" s="393"/>
      <c r="D6" s="393"/>
      <c r="E6" s="394"/>
    </row>
    <row r="7" spans="1:6" x14ac:dyDescent="0.25">
      <c r="A7" s="395" t="s">
        <v>54</v>
      </c>
      <c r="B7" s="395" t="s">
        <v>52</v>
      </c>
      <c r="C7" s="395" t="s">
        <v>30</v>
      </c>
      <c r="D7" s="208"/>
      <c r="E7" s="396"/>
    </row>
    <row r="8" spans="1:6" x14ac:dyDescent="0.25">
      <c r="A8" s="397">
        <v>1</v>
      </c>
      <c r="B8" s="398">
        <v>0.95</v>
      </c>
      <c r="C8" s="109">
        <f>-LN(B8)/A8</f>
        <v>5.1293294387550578E-2</v>
      </c>
      <c r="D8" s="208"/>
      <c r="E8" s="396"/>
    </row>
    <row r="9" spans="1:6" x14ac:dyDescent="0.25">
      <c r="A9" s="399">
        <v>1.5</v>
      </c>
      <c r="B9" s="400">
        <v>0.88</v>
      </c>
      <c r="C9" s="110">
        <f>-LN(B9)/A9</f>
        <v>8.522224767325659E-2</v>
      </c>
      <c r="D9" s="208"/>
      <c r="E9" s="396"/>
    </row>
    <row r="10" spans="1:6" x14ac:dyDescent="0.25">
      <c r="A10" s="401">
        <v>5</v>
      </c>
      <c r="B10" s="402">
        <v>0.85</v>
      </c>
      <c r="C10" s="111">
        <f>-LN(B10)/A10</f>
        <v>3.2503785899554986E-2</v>
      </c>
      <c r="D10" s="208"/>
      <c r="E10" s="396"/>
    </row>
    <row r="11" spans="1:6" x14ac:dyDescent="0.25">
      <c r="A11" s="403"/>
      <c r="B11" s="404"/>
      <c r="C11" s="404"/>
      <c r="D11" s="404"/>
      <c r="E11" s="405"/>
    </row>
    <row r="12" spans="1:6" x14ac:dyDescent="0.25">
      <c r="A12" s="406" t="s">
        <v>55</v>
      </c>
      <c r="B12" s="407"/>
      <c r="C12" s="407"/>
      <c r="D12" s="407"/>
      <c r="E12" s="408"/>
    </row>
    <row r="13" spans="1:6" x14ac:dyDescent="0.25">
      <c r="A13" s="409" t="s">
        <v>54</v>
      </c>
      <c r="B13" s="409" t="s">
        <v>30</v>
      </c>
      <c r="C13" s="409" t="s">
        <v>56</v>
      </c>
      <c r="D13" s="409" t="s">
        <v>57</v>
      </c>
      <c r="E13" s="410"/>
    </row>
    <row r="14" spans="1:6" x14ac:dyDescent="0.25">
      <c r="A14" s="121">
        <v>1</v>
      </c>
      <c r="B14" s="112">
        <v>5.1293294387550578E-2</v>
      </c>
      <c r="C14" s="121">
        <f>EXP(-B14*A14)</f>
        <v>0.95</v>
      </c>
      <c r="D14" s="113">
        <f>((C14/C15)-1)/(A15-A14)</f>
        <v>0.15909090909090917</v>
      </c>
      <c r="E14" s="410"/>
    </row>
    <row r="15" spans="1:6" x14ac:dyDescent="0.25">
      <c r="A15" s="411">
        <v>1.5</v>
      </c>
      <c r="B15" s="114">
        <v>8.522224767325659E-2</v>
      </c>
      <c r="C15" s="411">
        <f t="shared" ref="C15:C16" si="0">EXP(-B15*A15)</f>
        <v>0.88</v>
      </c>
      <c r="D15" s="115">
        <f>((C15/C16)-1)/(A16-A15)</f>
        <v>1.0084033613445407E-2</v>
      </c>
      <c r="E15" s="410"/>
    </row>
    <row r="16" spans="1:6" x14ac:dyDescent="0.25">
      <c r="A16" s="123">
        <v>5</v>
      </c>
      <c r="B16" s="116">
        <v>3.2503785899554986E-2</v>
      </c>
      <c r="C16" s="123">
        <f t="shared" si="0"/>
        <v>0.85</v>
      </c>
      <c r="D16" s="123"/>
      <c r="E16" s="410"/>
    </row>
    <row r="17" spans="1:6" x14ac:dyDescent="0.25">
      <c r="A17" s="412"/>
      <c r="B17" s="413"/>
      <c r="C17" s="413"/>
      <c r="D17" s="413"/>
      <c r="E17" s="414"/>
      <c r="F17" s="254"/>
    </row>
    <row r="18" spans="1:6" x14ac:dyDescent="0.25">
      <c r="A18" s="415" t="s">
        <v>58</v>
      </c>
      <c r="B18" s="416"/>
      <c r="C18" s="416"/>
      <c r="D18" s="416"/>
      <c r="E18" s="417"/>
      <c r="F18" s="254"/>
    </row>
    <row r="19" spans="1:6" x14ac:dyDescent="0.25">
      <c r="A19" s="418" t="s">
        <v>54</v>
      </c>
      <c r="B19" s="418" t="s">
        <v>56</v>
      </c>
      <c r="C19" s="419" t="s">
        <v>57</v>
      </c>
      <c r="D19" s="416"/>
      <c r="E19" s="417"/>
      <c r="F19" s="254"/>
    </row>
    <row r="20" spans="1:6" x14ac:dyDescent="0.25">
      <c r="A20" s="420">
        <v>1</v>
      </c>
      <c r="B20" s="421">
        <v>0.95</v>
      </c>
      <c r="C20" s="117">
        <f>LN(B20/B21)/(A21-A20)</f>
        <v>0.15308015424466881</v>
      </c>
      <c r="D20" s="416"/>
      <c r="E20" s="417"/>
      <c r="F20" s="254"/>
    </row>
    <row r="21" spans="1:6" x14ac:dyDescent="0.25">
      <c r="A21" s="422">
        <v>1.5</v>
      </c>
      <c r="B21" s="423">
        <v>0.88</v>
      </c>
      <c r="C21" s="118">
        <f t="shared" ref="C21" si="1">LN(B21/B22)/(A22-A21)</f>
        <v>9.9101594251114599E-3</v>
      </c>
      <c r="D21" s="416"/>
      <c r="E21" s="417"/>
      <c r="F21" s="254"/>
    </row>
    <row r="22" spans="1:6" x14ac:dyDescent="0.25">
      <c r="A22" s="424">
        <v>5</v>
      </c>
      <c r="B22" s="425">
        <v>0.85</v>
      </c>
      <c r="C22" s="424"/>
      <c r="D22" s="416"/>
      <c r="E22" s="417"/>
      <c r="F22" s="254"/>
    </row>
    <row r="23" spans="1:6" x14ac:dyDescent="0.25">
      <c r="A23" s="426"/>
      <c r="B23" s="427"/>
      <c r="C23" s="427"/>
      <c r="D23" s="427"/>
      <c r="E23" s="427"/>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9ECD-6504-455D-8B1C-09072314D4E5}">
  <dimension ref="A1:F26"/>
  <sheetViews>
    <sheetView zoomScale="95" zoomScaleNormal="95" workbookViewId="0">
      <selection activeCell="C18" sqref="C18"/>
    </sheetView>
  </sheetViews>
  <sheetFormatPr baseColWidth="10" defaultColWidth="9.21875" defaultRowHeight="13.2" x14ac:dyDescent="0.25"/>
  <cols>
    <col min="1" max="1" width="23.5546875" style="68" bestFit="1" customWidth="1"/>
    <col min="2" max="2" width="20.21875" style="68" bestFit="1" customWidth="1"/>
    <col min="3" max="3" width="17" style="68" bestFit="1" customWidth="1"/>
    <col min="4" max="4" width="1.21875" style="68" customWidth="1"/>
    <col min="5" max="5" width="27.21875" style="68" bestFit="1" customWidth="1"/>
    <col min="6" max="6" width="15.21875" style="68" bestFit="1" customWidth="1"/>
    <col min="7" max="16384" width="9.21875" style="68"/>
  </cols>
  <sheetData>
    <row r="1" spans="1:6" ht="19.95" customHeight="1" x14ac:dyDescent="0.25">
      <c r="A1" s="71" t="s">
        <v>175</v>
      </c>
      <c r="B1" s="3">
        <v>40</v>
      </c>
    </row>
    <row r="2" spans="1:6" x14ac:dyDescent="0.25">
      <c r="A2" s="138" t="s">
        <v>48</v>
      </c>
      <c r="B2" s="139">
        <v>0.05</v>
      </c>
    </row>
    <row r="3" spans="1:6" x14ac:dyDescent="0.25">
      <c r="A3" s="138" t="s">
        <v>176</v>
      </c>
      <c r="B3" s="140">
        <v>3</v>
      </c>
    </row>
    <row r="4" spans="1:6" x14ac:dyDescent="0.25">
      <c r="A4" s="141"/>
      <c r="B4" s="75"/>
    </row>
    <row r="7" spans="1:6" x14ac:dyDescent="0.25">
      <c r="A7" s="71" t="s">
        <v>177</v>
      </c>
      <c r="B7" s="143" t="s">
        <v>178</v>
      </c>
      <c r="C7" s="144">
        <v>43</v>
      </c>
      <c r="D7" s="145"/>
      <c r="E7" s="71" t="s">
        <v>179</v>
      </c>
      <c r="F7" s="144">
        <v>39</v>
      </c>
    </row>
    <row r="8" spans="1:6" x14ac:dyDescent="0.25">
      <c r="A8" s="138"/>
      <c r="B8" s="146" t="s">
        <v>420</v>
      </c>
      <c r="C8" s="147">
        <f>B1</f>
        <v>40</v>
      </c>
      <c r="E8" s="138" t="s">
        <v>421</v>
      </c>
      <c r="F8" s="147"/>
    </row>
    <row r="9" spans="1:6" x14ac:dyDescent="0.25">
      <c r="A9" s="138"/>
      <c r="B9" s="146" t="s">
        <v>180</v>
      </c>
      <c r="C9" s="148">
        <f>B2</f>
        <v>0.05</v>
      </c>
      <c r="E9" s="138" t="s">
        <v>181</v>
      </c>
      <c r="F9" s="148">
        <f>B2</f>
        <v>0.05</v>
      </c>
    </row>
    <row r="10" spans="1:6" x14ac:dyDescent="0.25">
      <c r="A10" s="138"/>
      <c r="B10" s="146" t="s">
        <v>182</v>
      </c>
      <c r="C10" s="138">
        <f>B3/12</f>
        <v>0.25</v>
      </c>
      <c r="E10" s="138" t="s">
        <v>183</v>
      </c>
      <c r="F10" s="138">
        <f>B3/12</f>
        <v>0.25</v>
      </c>
    </row>
    <row r="11" spans="1:6" x14ac:dyDescent="0.25">
      <c r="A11" s="138"/>
      <c r="B11" s="149" t="s">
        <v>184</v>
      </c>
      <c r="C11" s="141"/>
      <c r="D11" s="88"/>
      <c r="E11" s="141" t="s">
        <v>185</v>
      </c>
      <c r="F11" s="150">
        <f>B1</f>
        <v>40</v>
      </c>
    </row>
    <row r="12" spans="1:6" x14ac:dyDescent="0.25">
      <c r="A12" s="71" t="s">
        <v>186</v>
      </c>
      <c r="B12" s="68" t="s">
        <v>187</v>
      </c>
      <c r="C12" s="151"/>
      <c r="E12" s="138" t="s">
        <v>188</v>
      </c>
      <c r="F12" s="151"/>
    </row>
    <row r="13" spans="1:6" x14ac:dyDescent="0.25">
      <c r="A13" s="138"/>
      <c r="B13" s="68" t="s">
        <v>189</v>
      </c>
      <c r="C13" s="151">
        <f>C7</f>
        <v>43</v>
      </c>
      <c r="E13" s="138" t="s">
        <v>190</v>
      </c>
      <c r="F13" s="151">
        <f>F11*EXP(F9*F10)</f>
        <v>40.503138061625378</v>
      </c>
    </row>
    <row r="14" spans="1:6" x14ac:dyDescent="0.25">
      <c r="A14" s="141"/>
      <c r="B14" s="68" t="s">
        <v>191</v>
      </c>
      <c r="C14" s="151">
        <f>C8*EXP(C9*C10)</f>
        <v>40.503138061625378</v>
      </c>
      <c r="E14" s="141" t="s">
        <v>192</v>
      </c>
      <c r="F14" s="150">
        <f>F7</f>
        <v>39</v>
      </c>
    </row>
    <row r="15" spans="1:6" x14ac:dyDescent="0.25">
      <c r="B15" s="152" t="s">
        <v>193</v>
      </c>
      <c r="C15" s="153">
        <f>C13-C14</f>
        <v>2.4968619383746216</v>
      </c>
      <c r="E15" s="77" t="s">
        <v>193</v>
      </c>
      <c r="F15" s="153">
        <f>F13-F14</f>
        <v>1.5031380616253784</v>
      </c>
    </row>
    <row r="17" spans="1:6" x14ac:dyDescent="0.25">
      <c r="A17" s="749" t="s">
        <v>422</v>
      </c>
      <c r="B17" s="750"/>
      <c r="C17" s="750"/>
      <c r="D17" s="750"/>
      <c r="E17" s="750"/>
      <c r="F17" s="751"/>
    </row>
    <row r="18" spans="1:6" x14ac:dyDescent="0.25">
      <c r="A18" s="428" t="s">
        <v>194</v>
      </c>
      <c r="B18" s="428" t="s">
        <v>195</v>
      </c>
      <c r="C18" s="429">
        <f>C7-C15</f>
        <v>40.503138061625378</v>
      </c>
      <c r="D18" s="154"/>
      <c r="E18" s="430" t="s">
        <v>195</v>
      </c>
      <c r="F18" s="429">
        <f>F7+F15</f>
        <v>40.503138061625378</v>
      </c>
    </row>
    <row r="20" spans="1:6" x14ac:dyDescent="0.25">
      <c r="A20" s="155" t="s">
        <v>120</v>
      </c>
      <c r="B20" s="156">
        <f>B1*EXP(B2*B3/12)</f>
        <v>40.503138061625378</v>
      </c>
      <c r="C20" s="157"/>
    </row>
    <row r="25" spans="1:6" x14ac:dyDescent="0.25">
      <c r="E25" s="142"/>
    </row>
    <row r="26" spans="1:6" x14ac:dyDescent="0.25">
      <c r="F26" s="158"/>
    </row>
  </sheetData>
  <mergeCells count="1">
    <mergeCell ref="A17:F17"/>
  </mergeCells>
  <pageMargins left="0.75" right="0.75" top="1" bottom="1" header="0.5" footer="0.5"/>
  <pageSetup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8B28C-D8AA-41ED-AD35-81392C1FC38A}">
  <dimension ref="A1:H24"/>
  <sheetViews>
    <sheetView zoomScale="108" zoomScaleNormal="108" workbookViewId="0">
      <selection activeCell="F22" sqref="F22"/>
    </sheetView>
  </sheetViews>
  <sheetFormatPr baseColWidth="10" defaultColWidth="9.21875" defaultRowHeight="13.2" x14ac:dyDescent="0.25"/>
  <cols>
    <col min="1" max="1" width="38.109375" style="68" customWidth="1"/>
    <col min="2" max="2" width="15.77734375" style="68" bestFit="1" customWidth="1"/>
    <col min="3" max="4" width="9.21875" style="68"/>
    <col min="5" max="5" width="26.88671875" style="68" bestFit="1" customWidth="1"/>
    <col min="6" max="16384" width="9.21875" style="68"/>
  </cols>
  <sheetData>
    <row r="1" spans="1:8" ht="13.8" thickBot="1" x14ac:dyDescent="0.3">
      <c r="A1" s="431" t="s">
        <v>423</v>
      </c>
      <c r="B1" s="432"/>
      <c r="C1" s="432"/>
      <c r="D1" s="432"/>
      <c r="E1" s="432"/>
      <c r="F1" s="432"/>
      <c r="G1" s="432"/>
      <c r="H1" s="433"/>
    </row>
    <row r="2" spans="1:8" x14ac:dyDescent="0.25">
      <c r="A2" s="68" t="s">
        <v>424</v>
      </c>
    </row>
    <row r="5" spans="1:8" x14ac:dyDescent="0.25">
      <c r="A5" s="71" t="s">
        <v>175</v>
      </c>
      <c r="B5" s="3">
        <v>40</v>
      </c>
    </row>
    <row r="6" spans="1:8" x14ac:dyDescent="0.25">
      <c r="A6" s="138" t="s">
        <v>48</v>
      </c>
      <c r="B6" s="139">
        <v>0.05</v>
      </c>
    </row>
    <row r="7" spans="1:8" x14ac:dyDescent="0.25">
      <c r="A7" s="138" t="s">
        <v>176</v>
      </c>
      <c r="B7" s="140">
        <v>3</v>
      </c>
    </row>
    <row r="8" spans="1:8" x14ac:dyDescent="0.25">
      <c r="A8" s="141"/>
      <c r="B8" s="75"/>
    </row>
    <row r="11" spans="1:8" x14ac:dyDescent="0.25">
      <c r="A11" s="71" t="s">
        <v>177</v>
      </c>
      <c r="B11" s="143" t="s">
        <v>178</v>
      </c>
      <c r="C11" s="144">
        <v>44</v>
      </c>
      <c r="D11" s="145"/>
      <c r="E11" s="434" t="s">
        <v>179</v>
      </c>
      <c r="F11" s="435">
        <v>39</v>
      </c>
    </row>
    <row r="12" spans="1:8" x14ac:dyDescent="0.25">
      <c r="A12" s="138"/>
      <c r="B12" s="146" t="s">
        <v>420</v>
      </c>
      <c r="C12" s="147">
        <f>B5</f>
        <v>40</v>
      </c>
      <c r="E12" s="436" t="s">
        <v>421</v>
      </c>
      <c r="F12" s="437"/>
    </row>
    <row r="13" spans="1:8" x14ac:dyDescent="0.25">
      <c r="A13" s="138"/>
      <c r="B13" s="146" t="s">
        <v>180</v>
      </c>
      <c r="C13" s="148">
        <f>B6</f>
        <v>0.05</v>
      </c>
      <c r="E13" s="436" t="s">
        <v>181</v>
      </c>
      <c r="F13" s="438">
        <v>10</v>
      </c>
    </row>
    <row r="14" spans="1:8" x14ac:dyDescent="0.25">
      <c r="A14" s="138"/>
      <c r="B14" s="146" t="s">
        <v>182</v>
      </c>
      <c r="C14" s="138">
        <f>B7/12</f>
        <v>0.25</v>
      </c>
      <c r="E14" s="436" t="s">
        <v>183</v>
      </c>
      <c r="F14" s="436">
        <f>B7/12</f>
        <v>0.25</v>
      </c>
    </row>
    <row r="15" spans="1:8" x14ac:dyDescent="0.25">
      <c r="A15" s="138"/>
      <c r="B15" s="149" t="s">
        <v>184</v>
      </c>
      <c r="C15" s="141"/>
      <c r="D15" s="88"/>
      <c r="E15" s="439" t="s">
        <v>185</v>
      </c>
      <c r="F15" s="440">
        <f>B5</f>
        <v>40</v>
      </c>
    </row>
    <row r="16" spans="1:8" x14ac:dyDescent="0.25">
      <c r="A16" s="71" t="s">
        <v>186</v>
      </c>
      <c r="B16" s="68" t="s">
        <v>187</v>
      </c>
      <c r="C16" s="151"/>
      <c r="E16" s="436" t="s">
        <v>188</v>
      </c>
      <c r="F16" s="441"/>
    </row>
    <row r="17" spans="1:6" x14ac:dyDescent="0.25">
      <c r="A17" s="138"/>
      <c r="B17" s="68" t="s">
        <v>189</v>
      </c>
      <c r="C17" s="151">
        <f>C11</f>
        <v>44</v>
      </c>
      <c r="E17" s="436" t="s">
        <v>190</v>
      </c>
      <c r="F17" s="441">
        <f>F15*EXP(F13*F14)</f>
        <v>487.29975842813894</v>
      </c>
    </row>
    <row r="18" spans="1:6" x14ac:dyDescent="0.25">
      <c r="A18" s="141"/>
      <c r="B18" s="68" t="s">
        <v>191</v>
      </c>
      <c r="C18" s="151">
        <f>C12*EXP(C13*C14)</f>
        <v>40.503138061625378</v>
      </c>
      <c r="E18" s="439" t="s">
        <v>192</v>
      </c>
      <c r="F18" s="440">
        <f>F11</f>
        <v>39</v>
      </c>
    </row>
    <row r="19" spans="1:6" x14ac:dyDescent="0.25">
      <c r="B19" s="152" t="s">
        <v>193</v>
      </c>
      <c r="C19" s="153">
        <f>C17-C18</f>
        <v>3.4968619383746216</v>
      </c>
      <c r="E19" s="306" t="s">
        <v>193</v>
      </c>
      <c r="F19" s="442">
        <f>F17-F18</f>
        <v>448.29975842813894</v>
      </c>
    </row>
    <row r="21" spans="1:6" x14ac:dyDescent="0.25">
      <c r="A21" s="749" t="s">
        <v>425</v>
      </c>
      <c r="B21" s="750"/>
      <c r="C21" s="750"/>
      <c r="D21" s="750"/>
      <c r="E21" s="750"/>
      <c r="F21" s="751"/>
    </row>
    <row r="22" spans="1:6" x14ac:dyDescent="0.25">
      <c r="A22" s="428"/>
      <c r="B22" s="428" t="s">
        <v>195</v>
      </c>
      <c r="C22" s="429">
        <f>C11-C19</f>
        <v>40.503138061625378</v>
      </c>
      <c r="D22" s="154"/>
      <c r="E22" s="430" t="s">
        <v>195</v>
      </c>
      <c r="F22" s="429">
        <f>F11+F19</f>
        <v>487.29975842813894</v>
      </c>
    </row>
    <row r="24" spans="1:6" x14ac:dyDescent="0.25">
      <c r="A24" s="155" t="s">
        <v>426</v>
      </c>
      <c r="B24" s="156">
        <f>B5*EXP(B6*B7/12)</f>
        <v>40.503138061625378</v>
      </c>
      <c r="C24" s="157"/>
    </row>
  </sheetData>
  <mergeCells count="1">
    <mergeCell ref="A21:F21"/>
  </mergeCells>
  <pageMargins left="0.75" right="0.75" top="1" bottom="1" header="0.5" footer="0.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62F8-AB4F-42E2-ACAE-96CF92440E41}">
  <dimension ref="A1:F12"/>
  <sheetViews>
    <sheetView zoomScale="95" zoomScaleNormal="95" workbookViewId="0">
      <selection activeCell="F3" sqref="F3"/>
    </sheetView>
  </sheetViews>
  <sheetFormatPr baseColWidth="10" defaultColWidth="9.21875" defaultRowHeight="13.2" x14ac:dyDescent="0.25"/>
  <cols>
    <col min="1" max="1" width="23.5546875" style="68" bestFit="1" customWidth="1"/>
    <col min="2" max="2" width="8.77734375" style="68" bestFit="1" customWidth="1"/>
    <col min="3" max="3" width="17" style="68" bestFit="1" customWidth="1"/>
    <col min="4" max="4" width="1.21875" style="68" customWidth="1"/>
    <col min="5" max="5" width="27.21875" style="68" bestFit="1" customWidth="1"/>
    <col min="6" max="6" width="15.21875" style="68" bestFit="1" customWidth="1"/>
    <col min="7" max="16384" width="9.21875" style="68"/>
  </cols>
  <sheetData>
    <row r="1" spans="1:6" ht="19.95" customHeight="1" x14ac:dyDescent="0.35">
      <c r="A1" s="71" t="s">
        <v>427</v>
      </c>
      <c r="B1" s="3">
        <v>236</v>
      </c>
    </row>
    <row r="2" spans="1:6" x14ac:dyDescent="0.25">
      <c r="A2" s="138" t="s">
        <v>428</v>
      </c>
      <c r="B2" s="139">
        <v>0.05</v>
      </c>
    </row>
    <row r="3" spans="1:6" x14ac:dyDescent="0.25">
      <c r="A3" s="138" t="s">
        <v>429</v>
      </c>
      <c r="B3" s="139">
        <v>0.02</v>
      </c>
      <c r="E3" s="77" t="s">
        <v>430</v>
      </c>
      <c r="F3" s="303">
        <f>B1*EXP((B2-B3)*B4/12)</f>
        <v>238.96851456358974</v>
      </c>
    </row>
    <row r="4" spans="1:6" x14ac:dyDescent="0.25">
      <c r="A4" s="138" t="s">
        <v>176</v>
      </c>
      <c r="B4" s="140">
        <v>5</v>
      </c>
    </row>
    <row r="5" spans="1:6" x14ac:dyDescent="0.25">
      <c r="A5" s="141"/>
      <c r="B5" s="75"/>
    </row>
    <row r="11" spans="1:6" x14ac:dyDescent="0.25">
      <c r="E11" s="142"/>
    </row>
    <row r="12" spans="1:6" x14ac:dyDescent="0.25">
      <c r="F12" s="158"/>
    </row>
  </sheetData>
  <pageMargins left="0.75" right="0.75" top="1" bottom="1" header="0.5" footer="0.5"/>
  <pageSetup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90C1-DDC9-4FB4-98E3-71B8C8F5F5BF}">
  <dimension ref="A1:G12"/>
  <sheetViews>
    <sheetView zoomScale="95" zoomScaleNormal="95" workbookViewId="0">
      <selection activeCell="F11" sqref="F11"/>
    </sheetView>
  </sheetViews>
  <sheetFormatPr baseColWidth="10" defaultColWidth="9.21875" defaultRowHeight="13.2" x14ac:dyDescent="0.25"/>
  <cols>
    <col min="1" max="1" width="23.5546875" style="68" bestFit="1" customWidth="1"/>
    <col min="2" max="2" width="8.77734375" style="68" bestFit="1" customWidth="1"/>
    <col min="3" max="3" width="17" style="68" bestFit="1" customWidth="1"/>
    <col min="4" max="4" width="1.21875" style="68" customWidth="1"/>
    <col min="5" max="5" width="52.5546875" style="68" customWidth="1"/>
    <col min="6" max="6" width="15.21875" style="68" bestFit="1" customWidth="1"/>
    <col min="7" max="16384" width="9.21875" style="68"/>
  </cols>
  <sheetData>
    <row r="1" spans="1:7" ht="19.95" customHeight="1" x14ac:dyDescent="0.35">
      <c r="A1" s="143" t="s">
        <v>427</v>
      </c>
      <c r="B1" s="12">
        <v>235</v>
      </c>
    </row>
    <row r="2" spans="1:7" x14ac:dyDescent="0.25">
      <c r="A2" s="146" t="s">
        <v>428</v>
      </c>
      <c r="B2" s="443">
        <v>0.05</v>
      </c>
    </row>
    <row r="3" spans="1:7" x14ac:dyDescent="0.25">
      <c r="A3" s="146" t="s">
        <v>429</v>
      </c>
      <c r="B3" s="443">
        <v>0.02</v>
      </c>
      <c r="E3" s="77" t="s">
        <v>431</v>
      </c>
      <c r="F3" s="97">
        <f>B1*EXP((B2-B3)*B4/12)</f>
        <v>237.9559361120491</v>
      </c>
    </row>
    <row r="4" spans="1:7" x14ac:dyDescent="0.25">
      <c r="A4" s="146" t="s">
        <v>176</v>
      </c>
      <c r="B4" s="80">
        <v>5</v>
      </c>
    </row>
    <row r="5" spans="1:7" x14ac:dyDescent="0.25">
      <c r="A5" s="149" t="s">
        <v>432</v>
      </c>
      <c r="B5" s="4">
        <v>255</v>
      </c>
      <c r="E5" s="68" t="s">
        <v>433</v>
      </c>
    </row>
    <row r="6" spans="1:7" x14ac:dyDescent="0.25">
      <c r="E6" s="68" t="s">
        <v>434</v>
      </c>
    </row>
    <row r="7" spans="1:7" x14ac:dyDescent="0.25">
      <c r="E7" s="68" t="s">
        <v>435</v>
      </c>
    </row>
    <row r="8" spans="1:7" x14ac:dyDescent="0.25">
      <c r="E8" s="68" t="s">
        <v>436</v>
      </c>
    </row>
    <row r="10" spans="1:7" x14ac:dyDescent="0.25">
      <c r="E10" s="77" t="s">
        <v>437</v>
      </c>
      <c r="F10" s="303">
        <f>(B5-F3)</f>
        <v>17.044063887950898</v>
      </c>
      <c r="G10" s="68" t="s">
        <v>438</v>
      </c>
    </row>
    <row r="11" spans="1:7" x14ac:dyDescent="0.25">
      <c r="E11" s="142"/>
      <c r="F11" s="295">
        <f>F10*EXP(-B2*B4/12)</f>
        <v>16.692652469330369</v>
      </c>
      <c r="G11" s="68" t="s">
        <v>439</v>
      </c>
    </row>
    <row r="12" spans="1:7" x14ac:dyDescent="0.25">
      <c r="F12" s="158"/>
    </row>
  </sheetData>
  <pageMargins left="0.75" right="0.75" top="1" bottom="1" header="0.5" footer="0.5"/>
  <pageSetup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F2D92-AD60-402C-9A38-3D278F56FC76}">
  <dimension ref="A1:G12"/>
  <sheetViews>
    <sheetView zoomScale="95" zoomScaleNormal="95" workbookViewId="0">
      <selection activeCell="F11" sqref="F11"/>
    </sheetView>
  </sheetViews>
  <sheetFormatPr baseColWidth="10" defaultColWidth="9.21875" defaultRowHeight="13.2" x14ac:dyDescent="0.25"/>
  <cols>
    <col min="1" max="1" width="23.5546875" style="68" bestFit="1" customWidth="1"/>
    <col min="2" max="2" width="8.77734375" style="68" bestFit="1" customWidth="1"/>
    <col min="3" max="3" width="17" style="68" bestFit="1" customWidth="1"/>
    <col min="4" max="4" width="1.21875" style="68" customWidth="1"/>
    <col min="5" max="5" width="52.5546875" style="68" customWidth="1"/>
    <col min="6" max="6" width="15.21875" style="68" bestFit="1" customWidth="1"/>
    <col min="7" max="16384" width="9.21875" style="68"/>
  </cols>
  <sheetData>
    <row r="1" spans="1:7" ht="19.95" customHeight="1" x14ac:dyDescent="0.35">
      <c r="A1" s="143" t="s">
        <v>427</v>
      </c>
      <c r="B1" s="12">
        <v>235</v>
      </c>
    </row>
    <row r="2" spans="1:7" x14ac:dyDescent="0.25">
      <c r="A2" s="146" t="s">
        <v>428</v>
      </c>
      <c r="B2" s="443">
        <v>0.05</v>
      </c>
    </row>
    <row r="3" spans="1:7" x14ac:dyDescent="0.25">
      <c r="A3" s="146" t="s">
        <v>429</v>
      </c>
      <c r="B3" s="443">
        <v>0.02</v>
      </c>
      <c r="E3" s="77" t="s">
        <v>431</v>
      </c>
      <c r="F3" s="97">
        <f>B1*EXP((B2-B3)*B4/12)</f>
        <v>237.9559361120491</v>
      </c>
    </row>
    <row r="4" spans="1:7" x14ac:dyDescent="0.25">
      <c r="A4" s="146" t="s">
        <v>176</v>
      </c>
      <c r="B4" s="80">
        <v>5</v>
      </c>
    </row>
    <row r="5" spans="1:7" x14ac:dyDescent="0.25">
      <c r="A5" s="149" t="s">
        <v>432</v>
      </c>
      <c r="B5" s="4">
        <v>240</v>
      </c>
      <c r="E5" s="68" t="s">
        <v>440</v>
      </c>
    </row>
    <row r="6" spans="1:7" x14ac:dyDescent="0.25">
      <c r="E6" s="68" t="s">
        <v>441</v>
      </c>
    </row>
    <row r="7" spans="1:7" x14ac:dyDescent="0.25">
      <c r="E7" s="68" t="s">
        <v>435</v>
      </c>
    </row>
    <row r="8" spans="1:7" x14ac:dyDescent="0.25">
      <c r="E8" s="68" t="s">
        <v>442</v>
      </c>
    </row>
    <row r="10" spans="1:7" x14ac:dyDescent="0.25">
      <c r="E10" s="77" t="s">
        <v>443</v>
      </c>
      <c r="F10" s="303">
        <f>B5-F3</f>
        <v>2.0440638879508981</v>
      </c>
      <c r="G10" s="68" t="s">
        <v>444</v>
      </c>
    </row>
    <row r="11" spans="1:7" x14ac:dyDescent="0.25">
      <c r="E11" s="142"/>
      <c r="F11" s="295">
        <f>F10*EXP(-B2*B4/12)</f>
        <v>2.001919749361766</v>
      </c>
      <c r="G11" s="68" t="s">
        <v>445</v>
      </c>
    </row>
    <row r="12" spans="1:7" x14ac:dyDescent="0.25">
      <c r="F12" s="158"/>
    </row>
  </sheetData>
  <pageMargins left="0.75" right="0.75" top="1" bottom="1" header="0.5" footer="0.5"/>
  <pageSetup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5DE0-B68D-4C7F-9D50-EB2C54E26610}">
  <dimension ref="A1:H17"/>
  <sheetViews>
    <sheetView zoomScale="108" zoomScaleNormal="108" workbookViewId="0">
      <selection activeCell="B15" sqref="B15"/>
    </sheetView>
  </sheetViews>
  <sheetFormatPr baseColWidth="10" defaultColWidth="9.21875" defaultRowHeight="13.2" x14ac:dyDescent="0.25"/>
  <cols>
    <col min="1" max="1" width="38.109375" style="42" customWidth="1"/>
    <col min="2" max="16384" width="9.21875" style="42"/>
  </cols>
  <sheetData>
    <row r="1" spans="1:8" x14ac:dyDescent="0.25">
      <c r="A1" s="752" t="s">
        <v>682</v>
      </c>
      <c r="B1" s="753"/>
      <c r="H1" s="609"/>
    </row>
    <row r="2" spans="1:8" x14ac:dyDescent="0.25">
      <c r="A2" s="610" t="s">
        <v>683</v>
      </c>
      <c r="B2" s="444">
        <v>235</v>
      </c>
      <c r="H2" s="609"/>
    </row>
    <row r="3" spans="1:8" x14ac:dyDescent="0.25">
      <c r="A3" s="610" t="s">
        <v>684</v>
      </c>
      <c r="B3" s="611">
        <v>0.05</v>
      </c>
      <c r="H3" s="609"/>
    </row>
    <row r="4" spans="1:8" x14ac:dyDescent="0.25">
      <c r="A4" s="610" t="s">
        <v>685</v>
      </c>
      <c r="B4" s="611">
        <v>0.02</v>
      </c>
      <c r="H4" s="609"/>
    </row>
    <row r="5" spans="1:8" x14ac:dyDescent="0.25">
      <c r="A5" s="610" t="s">
        <v>686</v>
      </c>
      <c r="B5" s="210">
        <v>5</v>
      </c>
      <c r="H5" s="609"/>
    </row>
    <row r="6" spans="1:8" x14ac:dyDescent="0.25">
      <c r="A6" s="610" t="s">
        <v>687</v>
      </c>
      <c r="B6" s="303">
        <f>B2*EXP((B3-B4)*B5/12)</f>
        <v>237.9559361120491</v>
      </c>
      <c r="H6" s="609"/>
    </row>
    <row r="7" spans="1:8" x14ac:dyDescent="0.25">
      <c r="A7" s="612"/>
      <c r="B7" s="96"/>
      <c r="H7" s="609"/>
    </row>
    <row r="8" spans="1:8" x14ac:dyDescent="0.25">
      <c r="A8" s="754" t="s">
        <v>688</v>
      </c>
      <c r="B8" s="755"/>
      <c r="H8" s="609"/>
    </row>
    <row r="9" spans="1:8" x14ac:dyDescent="0.25">
      <c r="A9" s="613" t="s">
        <v>689</v>
      </c>
      <c r="B9" s="614">
        <v>255</v>
      </c>
      <c r="H9" s="609"/>
    </row>
    <row r="10" spans="1:8" x14ac:dyDescent="0.25">
      <c r="A10" s="613" t="s">
        <v>684</v>
      </c>
      <c r="B10" s="615">
        <v>0.04</v>
      </c>
      <c r="H10" s="609"/>
    </row>
    <row r="11" spans="1:8" x14ac:dyDescent="0.25">
      <c r="A11" s="613" t="s">
        <v>685</v>
      </c>
      <c r="B11" s="615">
        <v>1.4999999999999999E-2</v>
      </c>
      <c r="H11" s="609"/>
    </row>
    <row r="12" spans="1:8" x14ac:dyDescent="0.25">
      <c r="A12" s="613" t="s">
        <v>686</v>
      </c>
      <c r="B12" s="395">
        <v>3</v>
      </c>
      <c r="H12" s="609"/>
    </row>
    <row r="13" spans="1:8" x14ac:dyDescent="0.25">
      <c r="A13" s="613" t="s">
        <v>690</v>
      </c>
      <c r="B13" s="616">
        <f>B9*EXP((B10-B11)*B12/12)</f>
        <v>256.59874086095931</v>
      </c>
      <c r="C13" s="42" t="s">
        <v>691</v>
      </c>
      <c r="H13" s="609"/>
    </row>
    <row r="14" spans="1:8" x14ac:dyDescent="0.25">
      <c r="A14" s="612"/>
      <c r="H14" s="609"/>
    </row>
    <row r="15" spans="1:8" x14ac:dyDescent="0.25">
      <c r="A15" s="617" t="s">
        <v>692</v>
      </c>
      <c r="B15" s="97">
        <f>(B13-B6)</f>
        <v>18.642804748910208</v>
      </c>
      <c r="C15" s="42" t="s">
        <v>693</v>
      </c>
      <c r="H15" s="609"/>
    </row>
    <row r="16" spans="1:8" x14ac:dyDescent="0.25">
      <c r="A16" s="617" t="s">
        <v>694</v>
      </c>
      <c r="B16" s="97">
        <f>B15*EXP(-B10*B12/12)</f>
        <v>18.457305742276752</v>
      </c>
      <c r="H16" s="609"/>
    </row>
    <row r="17" spans="1:8" ht="13.8" thickBot="1" x14ac:dyDescent="0.3">
      <c r="A17" s="618"/>
      <c r="B17" s="619"/>
      <c r="C17" s="619"/>
      <c r="D17" s="619"/>
      <c r="E17" s="619"/>
      <c r="F17" s="619"/>
      <c r="G17" s="619"/>
      <c r="H17" s="620"/>
    </row>
  </sheetData>
  <mergeCells count="2">
    <mergeCell ref="A1:B1"/>
    <mergeCell ref="A8:B8"/>
  </mergeCells>
  <pageMargins left="0.75" right="0.75" top="1" bottom="1" header="0.5" footer="0.5"/>
  <headerFooter alignWithMargins="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6D2F-0BF9-4B63-8DAE-D2E353FBD6A5}">
  <dimension ref="A1:B7"/>
  <sheetViews>
    <sheetView zoomScale="95" zoomScaleNormal="95" workbookViewId="0">
      <selection activeCell="E12" sqref="E12"/>
    </sheetView>
  </sheetViews>
  <sheetFormatPr baseColWidth="10" defaultColWidth="9.21875" defaultRowHeight="13.2" x14ac:dyDescent="0.25"/>
  <cols>
    <col min="1" max="1" width="20.21875" style="68" bestFit="1" customWidth="1"/>
    <col min="2" max="16384" width="9.21875" style="68"/>
  </cols>
  <sheetData>
    <row r="1" spans="1:2" ht="19.95" customHeight="1" x14ac:dyDescent="0.25">
      <c r="A1" s="77" t="s">
        <v>446</v>
      </c>
      <c r="B1" s="76">
        <v>0.04</v>
      </c>
    </row>
    <row r="2" spans="1:2" x14ac:dyDescent="0.25">
      <c r="A2" s="77" t="s">
        <v>447</v>
      </c>
      <c r="B2" s="77">
        <v>91</v>
      </c>
    </row>
    <row r="3" spans="1:2" x14ac:dyDescent="0.25">
      <c r="A3" s="77" t="s">
        <v>40</v>
      </c>
      <c r="B3" s="444">
        <f>100-(B1*100*B2/360)</f>
        <v>98.988888888888894</v>
      </c>
    </row>
    <row r="5" spans="1:2" x14ac:dyDescent="0.25">
      <c r="A5" s="77" t="s">
        <v>40</v>
      </c>
      <c r="B5" s="445">
        <v>99</v>
      </c>
    </row>
    <row r="6" spans="1:2" x14ac:dyDescent="0.25">
      <c r="A6" s="77" t="s">
        <v>447</v>
      </c>
      <c r="B6" s="77">
        <v>90</v>
      </c>
    </row>
    <row r="7" spans="1:2" x14ac:dyDescent="0.25">
      <c r="A7" s="77" t="s">
        <v>446</v>
      </c>
      <c r="B7" s="446">
        <f>360*(100-B5)/(B6*100)</f>
        <v>0.04</v>
      </c>
    </row>
  </sheetData>
  <pageMargins left="0.75" right="0.75" top="1" bottom="1" header="0.5" footer="0.5"/>
  <pageSetup orientation="portrait" r:id="rId1"/>
  <headerFooter alignWithMargins="0"/>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536C3-32DF-4120-9B56-E66C13D198E3}">
  <dimension ref="A1:J17"/>
  <sheetViews>
    <sheetView zoomScale="95" zoomScaleNormal="95" workbookViewId="0">
      <selection activeCell="H17" sqref="H17"/>
    </sheetView>
  </sheetViews>
  <sheetFormatPr baseColWidth="10" defaultColWidth="9.21875" defaultRowHeight="13.2" x14ac:dyDescent="0.25"/>
  <cols>
    <col min="1" max="1" width="9.21875" style="68"/>
    <col min="2" max="2" width="7.88671875" style="68" bestFit="1" customWidth="1"/>
    <col min="3" max="3" width="8.109375" style="68" bestFit="1" customWidth="1"/>
    <col min="4" max="4" width="6.6640625" style="68" bestFit="1" customWidth="1"/>
    <col min="5" max="5" width="11" style="68" bestFit="1" customWidth="1"/>
    <col min="6" max="6" width="21.77734375" style="68" bestFit="1" customWidth="1"/>
    <col min="7" max="8" width="9.21875" style="68"/>
    <col min="9" max="9" width="11.6640625" style="68" bestFit="1" customWidth="1"/>
    <col min="10" max="10" width="15.109375" style="68" bestFit="1" customWidth="1"/>
    <col min="11" max="16384" width="9.21875" style="68"/>
  </cols>
  <sheetData>
    <row r="1" spans="1:10" x14ac:dyDescent="0.25">
      <c r="A1" s="756" t="s">
        <v>448</v>
      </c>
      <c r="B1" s="756"/>
      <c r="C1" s="756"/>
      <c r="D1" s="756"/>
      <c r="E1" s="756"/>
      <c r="F1" s="756"/>
    </row>
    <row r="2" spans="1:10" ht="19.95" customHeight="1" x14ac:dyDescent="0.25">
      <c r="A2" s="447" t="s">
        <v>449</v>
      </c>
      <c r="B2" s="447" t="s">
        <v>43</v>
      </c>
      <c r="C2" s="447" t="s">
        <v>418</v>
      </c>
      <c r="D2" s="447" t="s">
        <v>450</v>
      </c>
      <c r="E2" s="447" t="s">
        <v>39</v>
      </c>
      <c r="F2" s="447" t="s">
        <v>451</v>
      </c>
    </row>
    <row r="3" spans="1:10" x14ac:dyDescent="0.25">
      <c r="A3" s="448" t="s">
        <v>145</v>
      </c>
      <c r="B3" s="449">
        <v>0.06</v>
      </c>
      <c r="C3" s="450" t="s">
        <v>452</v>
      </c>
      <c r="D3" s="448">
        <v>110</v>
      </c>
      <c r="E3" s="451">
        <v>1.5</v>
      </c>
      <c r="F3" s="451">
        <v>0.97</v>
      </c>
      <c r="J3" s="159"/>
    </row>
    <row r="4" spans="1:10" x14ac:dyDescent="0.25">
      <c r="A4" s="448" t="s">
        <v>453</v>
      </c>
      <c r="B4" s="449">
        <v>7.2499999999999995E-2</v>
      </c>
      <c r="C4" s="450" t="s">
        <v>454</v>
      </c>
      <c r="D4" s="448">
        <v>122</v>
      </c>
      <c r="E4" s="451">
        <v>2.1</v>
      </c>
      <c r="F4" s="451">
        <v>1.0449999999999999</v>
      </c>
      <c r="J4" s="87"/>
    </row>
    <row r="5" spans="1:10" x14ac:dyDescent="0.25">
      <c r="A5" s="448" t="s">
        <v>99</v>
      </c>
      <c r="B5" s="449">
        <v>0.08</v>
      </c>
      <c r="C5" s="450" t="s">
        <v>455</v>
      </c>
      <c r="D5" s="448">
        <v>130</v>
      </c>
      <c r="E5" s="451">
        <v>1.85</v>
      </c>
      <c r="F5" s="451">
        <v>1.1200000000000001</v>
      </c>
    </row>
    <row r="6" spans="1:10" x14ac:dyDescent="0.25">
      <c r="A6" s="448" t="s">
        <v>456</v>
      </c>
      <c r="B6" s="449">
        <v>6.5000000000000002E-2</v>
      </c>
      <c r="C6" s="450" t="s">
        <v>457</v>
      </c>
      <c r="D6" s="448">
        <v>115</v>
      </c>
      <c r="E6" s="451">
        <v>2.4</v>
      </c>
      <c r="F6" s="451">
        <v>1</v>
      </c>
    </row>
    <row r="7" spans="1:10" x14ac:dyDescent="0.25">
      <c r="A7" s="448" t="s">
        <v>458</v>
      </c>
      <c r="B7" s="449">
        <v>0.09</v>
      </c>
      <c r="C7" s="450" t="s">
        <v>459</v>
      </c>
      <c r="D7" s="448">
        <v>138</v>
      </c>
      <c r="E7" s="451">
        <v>1.6</v>
      </c>
      <c r="F7" s="451">
        <v>1.2</v>
      </c>
    </row>
    <row r="9" spans="1:10" x14ac:dyDescent="0.25">
      <c r="A9" s="68" t="s">
        <v>460</v>
      </c>
    </row>
    <row r="11" spans="1:10" x14ac:dyDescent="0.25">
      <c r="A11" s="68" t="s">
        <v>461</v>
      </c>
    </row>
    <row r="13" spans="1:10" x14ac:dyDescent="0.25">
      <c r="A13" s="68" t="s">
        <v>462</v>
      </c>
    </row>
    <row r="15" spans="1:10" x14ac:dyDescent="0.25">
      <c r="A15" s="68" t="s">
        <v>463</v>
      </c>
    </row>
    <row r="17" spans="1:1" x14ac:dyDescent="0.25">
      <c r="A17" s="68" t="s">
        <v>464</v>
      </c>
    </row>
  </sheetData>
  <mergeCells count="1">
    <mergeCell ref="A1:F1"/>
  </mergeCells>
  <pageMargins left="0.75" right="0.75" top="1" bottom="1" header="0.5" footer="0.5"/>
  <pageSetup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82B1-D90D-4F73-BDD7-C1683C9B567E}">
  <dimension ref="A1:J17"/>
  <sheetViews>
    <sheetView zoomScale="95" zoomScaleNormal="95" workbookViewId="0">
      <selection activeCell="G19" sqref="G19"/>
    </sheetView>
  </sheetViews>
  <sheetFormatPr baseColWidth="10" defaultColWidth="9.21875" defaultRowHeight="13.2" x14ac:dyDescent="0.25"/>
  <cols>
    <col min="1" max="1" width="9.21875" style="68"/>
    <col min="2" max="2" width="7.88671875" style="68" bestFit="1" customWidth="1"/>
    <col min="3" max="3" width="8.77734375" style="68" bestFit="1" customWidth="1"/>
    <col min="4" max="4" width="6.6640625" style="68" bestFit="1" customWidth="1"/>
    <col min="5" max="5" width="11" style="68" bestFit="1" customWidth="1"/>
    <col min="6" max="6" width="21.77734375" style="68" bestFit="1" customWidth="1"/>
    <col min="7" max="7" width="24.77734375" style="68" bestFit="1" customWidth="1"/>
    <col min="8" max="8" width="25.21875" style="68" bestFit="1" customWidth="1"/>
    <col min="9" max="9" width="11.6640625" style="68" bestFit="1" customWidth="1"/>
    <col min="10" max="10" width="15.109375" style="68" bestFit="1" customWidth="1"/>
    <col min="11" max="16384" width="9.21875" style="68"/>
  </cols>
  <sheetData>
    <row r="1" spans="1:10" x14ac:dyDescent="0.25">
      <c r="A1" s="756" t="s">
        <v>448</v>
      </c>
      <c r="B1" s="756"/>
      <c r="C1" s="756"/>
      <c r="D1" s="756"/>
      <c r="E1" s="756"/>
      <c r="F1" s="756"/>
    </row>
    <row r="2" spans="1:10" ht="19.95" customHeight="1" x14ac:dyDescent="0.25">
      <c r="A2" s="447" t="s">
        <v>449</v>
      </c>
      <c r="B2" s="447" t="s">
        <v>43</v>
      </c>
      <c r="C2" s="447" t="s">
        <v>418</v>
      </c>
      <c r="D2" s="447" t="s">
        <v>450</v>
      </c>
      <c r="E2" s="447" t="s">
        <v>39</v>
      </c>
      <c r="F2" s="447" t="s">
        <v>451</v>
      </c>
      <c r="G2" s="452" t="s">
        <v>465</v>
      </c>
      <c r="H2" s="452" t="s">
        <v>466</v>
      </c>
      <c r="I2" s="452" t="s">
        <v>467</v>
      </c>
    </row>
    <row r="3" spans="1:10" x14ac:dyDescent="0.25">
      <c r="A3" s="448" t="s">
        <v>145</v>
      </c>
      <c r="B3" s="449">
        <v>0.06</v>
      </c>
      <c r="C3" s="450" t="s">
        <v>452</v>
      </c>
      <c r="D3" s="448">
        <v>110</v>
      </c>
      <c r="E3" s="451">
        <v>1.5</v>
      </c>
      <c r="F3" s="451">
        <v>0.97</v>
      </c>
      <c r="G3" s="453">
        <f>($C$11*F3)+E3</f>
        <v>99.47</v>
      </c>
      <c r="H3" s="453">
        <f>D3+E3</f>
        <v>111.5</v>
      </c>
      <c r="I3" s="453">
        <f>G3-H3</f>
        <v>-12.030000000000001</v>
      </c>
      <c r="J3" s="159"/>
    </row>
    <row r="4" spans="1:10" x14ac:dyDescent="0.25">
      <c r="A4" s="448" t="s">
        <v>453</v>
      </c>
      <c r="B4" s="449">
        <v>7.2499999999999995E-2</v>
      </c>
      <c r="C4" s="450" t="s">
        <v>454</v>
      </c>
      <c r="D4" s="448">
        <v>122</v>
      </c>
      <c r="E4" s="451">
        <v>2.1</v>
      </c>
      <c r="F4" s="451">
        <v>1.0449999999999999</v>
      </c>
      <c r="G4" s="453">
        <f t="shared" ref="G4:G7" si="0">($C$11*F4)+E4</f>
        <v>107.64499999999998</v>
      </c>
      <c r="H4" s="453">
        <f t="shared" ref="H4:H7" si="1">D4+E4</f>
        <v>124.1</v>
      </c>
      <c r="I4" s="453">
        <f t="shared" ref="I4:I7" si="2">G4-H4</f>
        <v>-16.455000000000013</v>
      </c>
      <c r="J4" s="87"/>
    </row>
    <row r="5" spans="1:10" x14ac:dyDescent="0.25">
      <c r="A5" s="448" t="s">
        <v>99</v>
      </c>
      <c r="B5" s="449">
        <v>0.08</v>
      </c>
      <c r="C5" s="450" t="s">
        <v>455</v>
      </c>
      <c r="D5" s="448">
        <v>130</v>
      </c>
      <c r="E5" s="451">
        <v>1.85</v>
      </c>
      <c r="F5" s="451">
        <v>1.1200000000000001</v>
      </c>
      <c r="G5" s="453">
        <f t="shared" si="0"/>
        <v>114.97</v>
      </c>
      <c r="H5" s="453">
        <f t="shared" si="1"/>
        <v>131.85</v>
      </c>
      <c r="I5" s="453">
        <f t="shared" si="2"/>
        <v>-16.879999999999995</v>
      </c>
    </row>
    <row r="6" spans="1:10" x14ac:dyDescent="0.25">
      <c r="A6" s="448" t="s">
        <v>456</v>
      </c>
      <c r="B6" s="449">
        <v>6.5000000000000002E-2</v>
      </c>
      <c r="C6" s="450" t="s">
        <v>457</v>
      </c>
      <c r="D6" s="448">
        <v>115</v>
      </c>
      <c r="E6" s="451">
        <v>2.4</v>
      </c>
      <c r="F6" s="451">
        <v>1</v>
      </c>
      <c r="G6" s="453">
        <f t="shared" si="0"/>
        <v>103.4</v>
      </c>
      <c r="H6" s="453">
        <f t="shared" si="1"/>
        <v>117.4</v>
      </c>
      <c r="I6" s="453">
        <f t="shared" si="2"/>
        <v>-14</v>
      </c>
    </row>
    <row r="7" spans="1:10" x14ac:dyDescent="0.25">
      <c r="A7" s="448" t="s">
        <v>458</v>
      </c>
      <c r="B7" s="449">
        <v>0.09</v>
      </c>
      <c r="C7" s="450" t="s">
        <v>459</v>
      </c>
      <c r="D7" s="448">
        <v>138</v>
      </c>
      <c r="E7" s="451">
        <v>1.6</v>
      </c>
      <c r="F7" s="451">
        <v>1.2</v>
      </c>
      <c r="G7" s="453">
        <f t="shared" si="0"/>
        <v>122.79999999999998</v>
      </c>
      <c r="H7" s="453">
        <f t="shared" si="1"/>
        <v>139.6</v>
      </c>
      <c r="I7" s="453">
        <f t="shared" si="2"/>
        <v>-16.800000000000011</v>
      </c>
    </row>
    <row r="8" spans="1:10" ht="13.8" thickBot="1" x14ac:dyDescent="0.3"/>
    <row r="9" spans="1:10" x14ac:dyDescent="0.25">
      <c r="A9" s="68" t="s">
        <v>460</v>
      </c>
      <c r="H9" s="454" t="s">
        <v>468</v>
      </c>
      <c r="I9" s="455"/>
    </row>
    <row r="10" spans="1:10" ht="13.8" thickBot="1" x14ac:dyDescent="0.3">
      <c r="H10" s="456" t="s">
        <v>469</v>
      </c>
      <c r="I10" s="457">
        <f>G3</f>
        <v>99.47</v>
      </c>
    </row>
    <row r="11" spans="1:10" x14ac:dyDescent="0.25">
      <c r="A11" s="68" t="s">
        <v>470</v>
      </c>
      <c r="C11" s="159">
        <v>101</v>
      </c>
    </row>
    <row r="13" spans="1:10" x14ac:dyDescent="0.25">
      <c r="A13" s="68" t="s">
        <v>462</v>
      </c>
    </row>
    <row r="15" spans="1:10" x14ac:dyDescent="0.25">
      <c r="A15" s="68" t="s">
        <v>463</v>
      </c>
    </row>
    <row r="17" spans="1:1" x14ac:dyDescent="0.25">
      <c r="A17" s="68" t="s">
        <v>464</v>
      </c>
    </row>
  </sheetData>
  <mergeCells count="1">
    <mergeCell ref="A1:F1"/>
  </mergeCells>
  <pageMargins left="0.75" right="0.75" top="1" bottom="1" header="0.5" footer="0.5"/>
  <pageSetup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8FCB-F917-4C4F-9077-60194A3BD58C}">
  <dimension ref="A1:E14"/>
  <sheetViews>
    <sheetView zoomScale="166" zoomScaleNormal="166" workbookViewId="0">
      <selection activeCell="B5" sqref="B5"/>
    </sheetView>
  </sheetViews>
  <sheetFormatPr baseColWidth="10" defaultColWidth="9.21875" defaultRowHeight="13.2" x14ac:dyDescent="0.25"/>
  <cols>
    <col min="1" max="1" width="20.5546875" style="68" bestFit="1" customWidth="1"/>
    <col min="2" max="2" width="16" style="68" bestFit="1" customWidth="1"/>
    <col min="3" max="3" width="15.5546875" style="68" bestFit="1" customWidth="1"/>
    <col min="4" max="4" width="17.77734375" style="68" bestFit="1" customWidth="1"/>
    <col min="5" max="5" width="15.5546875" style="68" bestFit="1" customWidth="1"/>
    <col min="6" max="6" width="16.21875" style="68" bestFit="1" customWidth="1"/>
    <col min="7" max="16384" width="9.21875" style="68"/>
  </cols>
  <sheetData>
    <row r="1" spans="1:5" x14ac:dyDescent="0.25">
      <c r="A1" s="77" t="s">
        <v>471</v>
      </c>
    </row>
    <row r="2" spans="1:5" x14ac:dyDescent="0.25">
      <c r="A2" s="69" t="s">
        <v>6</v>
      </c>
      <c r="B2" s="69" t="s">
        <v>472</v>
      </c>
      <c r="C2" s="69" t="s">
        <v>473</v>
      </c>
      <c r="D2" s="69" t="s">
        <v>474</v>
      </c>
      <c r="E2" s="69" t="s">
        <v>475</v>
      </c>
    </row>
    <row r="3" spans="1:5" x14ac:dyDescent="0.25">
      <c r="A3" s="458">
        <v>42434</v>
      </c>
      <c r="B3" s="459">
        <v>1.2E-2</v>
      </c>
      <c r="C3" s="182"/>
      <c r="D3" s="70"/>
      <c r="E3" s="70"/>
    </row>
    <row r="4" spans="1:5" x14ac:dyDescent="0.25">
      <c r="A4" s="460">
        <f t="shared" ref="A4:A9" si="0">EDATE(A3,6)</f>
        <v>42618</v>
      </c>
      <c r="B4" s="461">
        <v>1.4E-2</v>
      </c>
      <c r="C4" s="462">
        <f t="shared" ref="C4:C9" si="1">$B$14*B3*0.5</f>
        <v>600000</v>
      </c>
      <c r="D4" s="462">
        <f t="shared" ref="D4:D9" si="2">$B$14*$B$13*0.5</f>
        <v>650000</v>
      </c>
      <c r="E4" s="462">
        <f t="shared" ref="E4:E9" si="3">C4-D4</f>
        <v>-50000</v>
      </c>
    </row>
    <row r="5" spans="1:5" x14ac:dyDescent="0.25">
      <c r="A5" s="463">
        <f t="shared" si="0"/>
        <v>42799</v>
      </c>
      <c r="B5" s="461">
        <v>1.2500000000000001E-2</v>
      </c>
      <c r="C5" s="464">
        <f t="shared" si="1"/>
        <v>700000</v>
      </c>
      <c r="D5" s="462">
        <f t="shared" si="2"/>
        <v>650000</v>
      </c>
      <c r="E5" s="82">
        <f t="shared" si="3"/>
        <v>50000</v>
      </c>
    </row>
    <row r="6" spans="1:5" x14ac:dyDescent="0.25">
      <c r="A6" s="463">
        <f t="shared" si="0"/>
        <v>42983</v>
      </c>
      <c r="B6" s="461">
        <v>0.01</v>
      </c>
      <c r="C6" s="464">
        <f t="shared" si="1"/>
        <v>625000</v>
      </c>
      <c r="D6" s="462">
        <f t="shared" si="2"/>
        <v>650000</v>
      </c>
      <c r="E6" s="82">
        <f t="shared" si="3"/>
        <v>-25000</v>
      </c>
    </row>
    <row r="7" spans="1:5" x14ac:dyDescent="0.25">
      <c r="A7" s="463">
        <f t="shared" si="0"/>
        <v>43164</v>
      </c>
      <c r="B7" s="461">
        <v>1.15E-2</v>
      </c>
      <c r="C7" s="464">
        <f t="shared" si="1"/>
        <v>500000</v>
      </c>
      <c r="D7" s="462">
        <f t="shared" si="2"/>
        <v>650000</v>
      </c>
      <c r="E7" s="82">
        <f t="shared" si="3"/>
        <v>-150000</v>
      </c>
    </row>
    <row r="8" spans="1:5" x14ac:dyDescent="0.25">
      <c r="A8" s="463">
        <f t="shared" si="0"/>
        <v>43348</v>
      </c>
      <c r="B8" s="461">
        <v>1.2800000000000001E-2</v>
      </c>
      <c r="C8" s="464">
        <f t="shared" si="1"/>
        <v>575000</v>
      </c>
      <c r="D8" s="462">
        <f t="shared" si="2"/>
        <v>650000</v>
      </c>
      <c r="E8" s="82">
        <f t="shared" si="3"/>
        <v>-75000</v>
      </c>
    </row>
    <row r="9" spans="1:5" x14ac:dyDescent="0.25">
      <c r="A9" s="465">
        <f t="shared" si="0"/>
        <v>43529</v>
      </c>
      <c r="B9" s="83"/>
      <c r="C9" s="464">
        <f t="shared" si="1"/>
        <v>640000</v>
      </c>
      <c r="D9" s="462">
        <f t="shared" si="2"/>
        <v>650000</v>
      </c>
      <c r="E9" s="82">
        <f t="shared" si="3"/>
        <v>-10000</v>
      </c>
    </row>
    <row r="10" spans="1:5" x14ac:dyDescent="0.25">
      <c r="A10" s="466"/>
      <c r="B10" s="256" t="s">
        <v>476</v>
      </c>
      <c r="C10" s="467"/>
      <c r="D10" s="468">
        <f>SUM(D4:D9)</f>
        <v>3900000</v>
      </c>
      <c r="E10" s="467">
        <f>SUM(E4:E9)</f>
        <v>-260000</v>
      </c>
    </row>
    <row r="13" spans="1:5" x14ac:dyDescent="0.25">
      <c r="A13" s="69" t="s">
        <v>477</v>
      </c>
      <c r="B13" s="469">
        <v>1.2999999999999999E-2</v>
      </c>
    </row>
    <row r="14" spans="1:5" x14ac:dyDescent="0.25">
      <c r="A14" s="69" t="s">
        <v>478</v>
      </c>
      <c r="B14" s="470">
        <v>100000000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1038-667A-4BD6-BEA6-14C831908238}">
  <dimension ref="A1:E14"/>
  <sheetViews>
    <sheetView zoomScale="166" zoomScaleNormal="166" workbookViewId="0">
      <selection activeCell="D14" sqref="D14"/>
    </sheetView>
  </sheetViews>
  <sheetFormatPr baseColWidth="10" defaultColWidth="9.21875" defaultRowHeight="13.2" x14ac:dyDescent="0.25"/>
  <cols>
    <col min="1" max="1" width="20.5546875" style="68" bestFit="1" customWidth="1"/>
    <col min="2" max="2" width="16" style="68" bestFit="1" customWidth="1"/>
    <col min="3" max="3" width="15.5546875" style="68" bestFit="1" customWidth="1"/>
    <col min="4" max="4" width="17.77734375" style="68" bestFit="1" customWidth="1"/>
    <col min="5" max="5" width="15.5546875" style="68" bestFit="1" customWidth="1"/>
    <col min="6" max="6" width="16.21875" style="68" bestFit="1" customWidth="1"/>
    <col min="7" max="16384" width="9.21875" style="68"/>
  </cols>
  <sheetData>
    <row r="1" spans="1:5" x14ac:dyDescent="0.25">
      <c r="A1" s="77" t="s">
        <v>471</v>
      </c>
    </row>
    <row r="2" spans="1:5" x14ac:dyDescent="0.25">
      <c r="A2" s="69" t="s">
        <v>6</v>
      </c>
      <c r="B2" s="69" t="s">
        <v>472</v>
      </c>
      <c r="C2" s="69" t="s">
        <v>473</v>
      </c>
      <c r="D2" s="69" t="s">
        <v>474</v>
      </c>
      <c r="E2" s="69" t="s">
        <v>475</v>
      </c>
    </row>
    <row r="3" spans="1:5" x14ac:dyDescent="0.25">
      <c r="A3" s="458">
        <v>42434</v>
      </c>
      <c r="B3" s="459">
        <v>1.2E-2</v>
      </c>
      <c r="C3" s="182"/>
      <c r="D3" s="70"/>
      <c r="E3" s="70"/>
    </row>
    <row r="4" spans="1:5" x14ac:dyDescent="0.25">
      <c r="A4" s="460">
        <f t="shared" ref="A4:A9" si="0">EDATE(A3,6)</f>
        <v>42618</v>
      </c>
      <c r="B4" s="461">
        <f ca="1">1.4%*EXP(-0.5*0.2*0.2*0.25)*EXP(0.2*SQRT(0.25)*RAND())</f>
        <v>1.4566270608926351E-2</v>
      </c>
      <c r="C4" s="462">
        <f t="shared" ref="C4:C9" si="1">$B$14*B3*0.5</f>
        <v>600000</v>
      </c>
      <c r="D4" s="462">
        <f t="shared" ref="D4:D9" si="2">$B$14*$B$13*0.5</f>
        <v>650000</v>
      </c>
      <c r="E4" s="462">
        <f t="shared" ref="E4:E9" si="3">C4-D4</f>
        <v>-50000</v>
      </c>
    </row>
    <row r="5" spans="1:5" x14ac:dyDescent="0.25">
      <c r="A5" s="463">
        <f t="shared" si="0"/>
        <v>42799</v>
      </c>
      <c r="B5" s="461">
        <f ca="1">1.25%*EXP(-0.5*0.2*0.2*0.25)*EXP(0.2*SQRT(0.25)*RAND())</f>
        <v>1.2641724174105622E-2</v>
      </c>
      <c r="C5" s="464">
        <f t="shared" ca="1" si="1"/>
        <v>728313.53044631751</v>
      </c>
      <c r="D5" s="462">
        <f t="shared" si="2"/>
        <v>650000</v>
      </c>
      <c r="E5" s="82">
        <f t="shared" ca="1" si="3"/>
        <v>78313.530446317513</v>
      </c>
    </row>
    <row r="6" spans="1:5" x14ac:dyDescent="0.25">
      <c r="A6" s="463">
        <f t="shared" si="0"/>
        <v>42983</v>
      </c>
      <c r="B6" s="461">
        <f ca="1">1%*EXP(-0.5*0.2*0.2*0.25)*EXP(0.2*SQRT(0.25)*RAND())</f>
        <v>1.0565470851705503E-2</v>
      </c>
      <c r="C6" s="464">
        <f t="shared" ca="1" si="1"/>
        <v>632086.20870528114</v>
      </c>
      <c r="D6" s="462">
        <f t="shared" si="2"/>
        <v>650000</v>
      </c>
      <c r="E6" s="82">
        <f t="shared" ca="1" si="3"/>
        <v>-17913.79129471886</v>
      </c>
    </row>
    <row r="7" spans="1:5" x14ac:dyDescent="0.25">
      <c r="A7" s="463">
        <f t="shared" si="0"/>
        <v>43164</v>
      </c>
      <c r="B7" s="461">
        <f ca="1">1.15%*EXP(-0.5*0.2*0.2*0.25)*EXP(0.2*SQRT(0.25)*RAND())</f>
        <v>1.1472077606239499E-2</v>
      </c>
      <c r="C7" s="464">
        <f t="shared" ca="1" si="1"/>
        <v>528273.54258527514</v>
      </c>
      <c r="D7" s="462">
        <f t="shared" si="2"/>
        <v>650000</v>
      </c>
      <c r="E7" s="82">
        <f t="shared" ca="1" si="3"/>
        <v>-121726.45741472486</v>
      </c>
    </row>
    <row r="8" spans="1:5" x14ac:dyDescent="0.25">
      <c r="A8" s="463">
        <f t="shared" si="0"/>
        <v>43348</v>
      </c>
      <c r="B8" s="461">
        <f ca="1">1.28%*EXP(-0.5*0.2*0.2*0.25)*EXP(0.2*SQRT(0.25)*RAND())</f>
        <v>1.3863451906813854E-2</v>
      </c>
      <c r="C8" s="464">
        <f t="shared" ca="1" si="1"/>
        <v>573603.88031197491</v>
      </c>
      <c r="D8" s="462">
        <f t="shared" si="2"/>
        <v>650000</v>
      </c>
      <c r="E8" s="82">
        <f t="shared" ca="1" si="3"/>
        <v>-76396.119688025094</v>
      </c>
    </row>
    <row r="9" spans="1:5" x14ac:dyDescent="0.25">
      <c r="A9" s="465">
        <f t="shared" si="0"/>
        <v>43529</v>
      </c>
      <c r="B9" s="83"/>
      <c r="C9" s="464">
        <f t="shared" ca="1" si="1"/>
        <v>693172.59534069267</v>
      </c>
      <c r="D9" s="462">
        <f t="shared" si="2"/>
        <v>650000</v>
      </c>
      <c r="E9" s="82">
        <f t="shared" ca="1" si="3"/>
        <v>43172.595340692671</v>
      </c>
    </row>
    <row r="10" spans="1:5" x14ac:dyDescent="0.25">
      <c r="A10" s="466"/>
      <c r="B10" s="256" t="s">
        <v>476</v>
      </c>
      <c r="C10" s="467"/>
      <c r="D10" s="468">
        <f>SUM(D4:D9)</f>
        <v>3900000</v>
      </c>
      <c r="E10" s="467">
        <f ca="1">SUM(E4:E9)</f>
        <v>-144550.24261045863</v>
      </c>
    </row>
    <row r="13" spans="1:5" x14ac:dyDescent="0.25">
      <c r="A13" s="69" t="s">
        <v>477</v>
      </c>
      <c r="B13" s="469">
        <v>1.2999999999999999E-2</v>
      </c>
    </row>
    <row r="14" spans="1:5" x14ac:dyDescent="0.25">
      <c r="A14" s="69" t="s">
        <v>478</v>
      </c>
      <c r="B14" s="470">
        <v>100000000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B94C-C5F6-43A4-9B12-745E79C7190C}">
  <dimension ref="A1:J32"/>
  <sheetViews>
    <sheetView topLeftCell="A11" zoomScale="120" zoomScaleNormal="120" workbookViewId="0">
      <selection activeCell="J15" sqref="J15"/>
    </sheetView>
  </sheetViews>
  <sheetFormatPr baseColWidth="10" defaultColWidth="9.21875" defaultRowHeight="13.2" x14ac:dyDescent="0.25"/>
  <cols>
    <col min="1" max="2" width="7.44140625" style="68" customWidth="1"/>
    <col min="3" max="4" width="9.21875" style="68"/>
    <col min="5" max="6" width="7.5546875" style="68" customWidth="1"/>
    <col min="7" max="16384" width="9.21875" style="68"/>
  </cols>
  <sheetData>
    <row r="1" spans="1:10" x14ac:dyDescent="0.25">
      <c r="A1" s="84"/>
    </row>
    <row r="2" spans="1:10" x14ac:dyDescent="0.25">
      <c r="A2" s="84"/>
    </row>
    <row r="3" spans="1:10" x14ac:dyDescent="0.25">
      <c r="A3" s="84"/>
    </row>
    <row r="4" spans="1:10" x14ac:dyDescent="0.25">
      <c r="A4" s="84"/>
    </row>
    <row r="5" spans="1:10" ht="15.6" x14ac:dyDescent="0.35">
      <c r="A5" s="471" t="s">
        <v>479</v>
      </c>
      <c r="B5" s="472" t="s">
        <v>480</v>
      </c>
      <c r="C5" s="472"/>
      <c r="D5" s="472" t="s">
        <v>481</v>
      </c>
      <c r="E5" s="472" t="s">
        <v>482</v>
      </c>
      <c r="F5" s="472" t="s">
        <v>483</v>
      </c>
    </row>
    <row r="6" spans="1:10" x14ac:dyDescent="0.25">
      <c r="A6" s="473"/>
      <c r="B6" s="138"/>
      <c r="D6" s="473"/>
      <c r="E6" s="473"/>
      <c r="F6" s="473"/>
    </row>
    <row r="7" spans="1:10" ht="15.6" x14ac:dyDescent="0.35">
      <c r="A7" s="179" t="s">
        <v>484</v>
      </c>
      <c r="B7" s="83" t="s">
        <v>485</v>
      </c>
      <c r="C7" s="88"/>
      <c r="D7" s="75"/>
      <c r="E7" s="179" t="s">
        <v>486</v>
      </c>
      <c r="F7" s="179" t="s">
        <v>487</v>
      </c>
    </row>
    <row r="9" spans="1:10" x14ac:dyDescent="0.25">
      <c r="F9" s="472" t="s">
        <v>488</v>
      </c>
    </row>
    <row r="11" spans="1:10" x14ac:dyDescent="0.25">
      <c r="A11" s="472" t="s">
        <v>489</v>
      </c>
    </row>
    <row r="12" spans="1:10" x14ac:dyDescent="0.25">
      <c r="D12" s="472" t="s">
        <v>490</v>
      </c>
    </row>
    <row r="13" spans="1:10" x14ac:dyDescent="0.25">
      <c r="C13" s="68" t="s">
        <v>491</v>
      </c>
    </row>
    <row r="14" spans="1:10" x14ac:dyDescent="0.25">
      <c r="E14" s="472" t="s">
        <v>492</v>
      </c>
    </row>
    <row r="16" spans="1:10" ht="15.6" x14ac:dyDescent="0.35">
      <c r="A16" s="154" t="s">
        <v>493</v>
      </c>
      <c r="B16" s="154"/>
      <c r="C16" s="154"/>
      <c r="D16" s="154" t="s">
        <v>494</v>
      </c>
      <c r="E16" s="154"/>
      <c r="F16" s="154"/>
      <c r="G16" s="154"/>
      <c r="H16" s="154"/>
      <c r="I16" s="154"/>
      <c r="J16" s="154"/>
    </row>
    <row r="17" spans="1:10" ht="15.6" x14ac:dyDescent="0.35">
      <c r="A17" s="154"/>
      <c r="B17" s="154"/>
      <c r="C17" s="154"/>
      <c r="D17" s="154" t="s">
        <v>495</v>
      </c>
      <c r="E17" s="154"/>
      <c r="F17" s="154"/>
      <c r="G17" s="154"/>
      <c r="H17" s="154"/>
      <c r="I17" s="154"/>
      <c r="J17" s="154"/>
    </row>
    <row r="18" spans="1:10" ht="15.6" x14ac:dyDescent="0.35">
      <c r="A18" s="154" t="s">
        <v>496</v>
      </c>
      <c r="B18" s="154"/>
      <c r="C18" s="154"/>
      <c r="D18" s="154" t="s">
        <v>497</v>
      </c>
      <c r="E18" s="154"/>
      <c r="F18" s="154"/>
      <c r="G18" s="154"/>
      <c r="H18" s="154"/>
      <c r="I18" s="154"/>
      <c r="J18" s="154"/>
    </row>
    <row r="19" spans="1:10" ht="15.6" x14ac:dyDescent="0.35">
      <c r="A19" s="154"/>
      <c r="B19" s="154"/>
      <c r="C19" s="154"/>
      <c r="D19" s="154" t="s">
        <v>498</v>
      </c>
      <c r="E19" s="154"/>
      <c r="F19" s="154"/>
      <c r="G19" s="154"/>
      <c r="H19" s="154"/>
      <c r="I19" s="154"/>
      <c r="J19" s="154"/>
    </row>
    <row r="20" spans="1:10" x14ac:dyDescent="0.25">
      <c r="A20" s="154"/>
      <c r="B20" s="154"/>
      <c r="C20" s="154"/>
      <c r="D20" s="154"/>
      <c r="E20" s="154"/>
      <c r="F20" s="154"/>
      <c r="G20" s="154"/>
      <c r="H20" s="154"/>
      <c r="I20" s="154"/>
      <c r="J20" s="154"/>
    </row>
    <row r="21" spans="1:10" x14ac:dyDescent="0.25">
      <c r="A21" s="154"/>
      <c r="B21" s="154"/>
      <c r="C21" s="154"/>
      <c r="D21" s="154"/>
      <c r="E21" s="154"/>
      <c r="F21" s="154"/>
      <c r="G21" s="154"/>
      <c r="H21" s="154"/>
      <c r="I21" s="154"/>
      <c r="J21" s="154"/>
    </row>
    <row r="22" spans="1:10" x14ac:dyDescent="0.25">
      <c r="A22" s="154"/>
      <c r="B22" s="154"/>
      <c r="C22" s="154"/>
      <c r="D22" s="154"/>
      <c r="E22" s="154"/>
      <c r="F22" s="154"/>
      <c r="G22" s="154"/>
      <c r="H22" s="154"/>
      <c r="I22" s="154"/>
      <c r="J22" s="154"/>
    </row>
    <row r="23" spans="1:10" x14ac:dyDescent="0.25">
      <c r="A23" s="154"/>
      <c r="B23" s="154"/>
      <c r="C23" s="154"/>
      <c r="D23" s="154"/>
      <c r="E23" s="154"/>
      <c r="F23" s="154"/>
      <c r="G23" s="154"/>
      <c r="H23" s="154"/>
      <c r="I23" s="154"/>
      <c r="J23" s="154"/>
    </row>
    <row r="24" spans="1:10" x14ac:dyDescent="0.25">
      <c r="A24" s="154"/>
      <c r="B24" s="154"/>
      <c r="C24" s="154"/>
      <c r="D24" s="154"/>
      <c r="E24" s="154"/>
      <c r="F24" s="154"/>
      <c r="G24" s="154"/>
      <c r="H24" s="154"/>
      <c r="I24" s="154"/>
      <c r="J24" s="154"/>
    </row>
    <row r="25" spans="1:10" x14ac:dyDescent="0.25">
      <c r="A25" s="154"/>
      <c r="B25" s="154"/>
      <c r="C25" s="154"/>
      <c r="D25" s="154"/>
      <c r="E25" s="154"/>
      <c r="F25" s="154"/>
      <c r="G25" s="154"/>
      <c r="H25" s="154"/>
      <c r="I25" s="154"/>
      <c r="J25" s="154"/>
    </row>
    <row r="26" spans="1:10" x14ac:dyDescent="0.25">
      <c r="A26" s="154"/>
      <c r="B26" s="154"/>
      <c r="C26" s="154"/>
      <c r="D26" s="154"/>
      <c r="E26" s="154"/>
      <c r="F26" s="154"/>
      <c r="G26" s="154"/>
      <c r="H26" s="154"/>
      <c r="I26" s="154"/>
      <c r="J26" s="154"/>
    </row>
    <row r="27" spans="1:10" ht="15.6" x14ac:dyDescent="0.35">
      <c r="A27" s="154" t="s">
        <v>499</v>
      </c>
      <c r="B27" s="154"/>
      <c r="C27" s="154"/>
      <c r="D27" s="154" t="s">
        <v>500</v>
      </c>
      <c r="E27" s="154"/>
      <c r="F27" s="154"/>
      <c r="G27" s="154"/>
      <c r="H27" s="154"/>
      <c r="I27" s="154"/>
      <c r="J27" s="154"/>
    </row>
    <row r="28" spans="1:10" ht="15.6" x14ac:dyDescent="0.35">
      <c r="A28" s="154"/>
      <c r="B28" s="154"/>
      <c r="C28" s="154"/>
      <c r="D28" s="154" t="s">
        <v>501</v>
      </c>
      <c r="E28" s="154"/>
      <c r="F28" s="154"/>
      <c r="G28" s="154"/>
      <c r="H28" s="154"/>
      <c r="I28" s="154"/>
      <c r="J28" s="154"/>
    </row>
    <row r="29" spans="1:10" ht="15.6" x14ac:dyDescent="0.35">
      <c r="A29" s="154" t="s">
        <v>502</v>
      </c>
      <c r="B29" s="154"/>
      <c r="C29" s="154"/>
      <c r="D29" s="154" t="s">
        <v>503</v>
      </c>
      <c r="E29" s="154"/>
      <c r="F29" s="154"/>
      <c r="G29" s="154"/>
      <c r="H29" s="154"/>
      <c r="I29" s="154"/>
      <c r="J29" s="154"/>
    </row>
    <row r="30" spans="1:10" ht="15.6" x14ac:dyDescent="0.35">
      <c r="A30" s="154"/>
      <c r="B30" s="154"/>
      <c r="C30" s="154"/>
      <c r="D30" s="154" t="s">
        <v>504</v>
      </c>
      <c r="E30" s="154"/>
      <c r="F30" s="154"/>
      <c r="G30" s="154"/>
      <c r="H30" s="154"/>
      <c r="I30" s="154"/>
      <c r="J30" s="154"/>
    </row>
    <row r="31" spans="1:10" x14ac:dyDescent="0.25">
      <c r="A31" s="154"/>
      <c r="B31" s="154"/>
      <c r="C31" s="154"/>
      <c r="D31" s="154"/>
      <c r="E31" s="154"/>
      <c r="F31" s="154"/>
      <c r="G31" s="154"/>
      <c r="H31" s="154"/>
      <c r="I31" s="154"/>
      <c r="J31" s="154"/>
    </row>
    <row r="32" spans="1:10" x14ac:dyDescent="0.25">
      <c r="A32" s="154"/>
      <c r="B32" s="154"/>
      <c r="C32" s="154"/>
      <c r="D32" s="154"/>
      <c r="E32" s="154"/>
      <c r="F32" s="154"/>
      <c r="G32" s="154"/>
      <c r="H32" s="154"/>
      <c r="I32" s="154"/>
      <c r="J32" s="154"/>
    </row>
  </sheetData>
  <pageMargins left="0.75" right="0.75" top="1" bottom="1" header="0.5" footer="0.5"/>
  <pageSetup orientation="portrait"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26B4-02AD-4BAA-AF27-8EE386567DE8}">
  <dimension ref="A1:C17"/>
  <sheetViews>
    <sheetView zoomScale="120" zoomScaleNormal="120" workbookViewId="0">
      <selection activeCell="G8" sqref="G8"/>
    </sheetView>
  </sheetViews>
  <sheetFormatPr baseColWidth="10" defaultColWidth="9.21875" defaultRowHeight="13.2" x14ac:dyDescent="0.25"/>
  <cols>
    <col min="1" max="1" width="9.21875" style="68"/>
    <col min="2" max="2" width="10.5546875" style="68" bestFit="1" customWidth="1"/>
    <col min="3" max="3" width="53.21875" style="68" bestFit="1" customWidth="1"/>
    <col min="4" max="16384" width="9.21875" style="68"/>
  </cols>
  <sheetData>
    <row r="1" spans="1:3" ht="13.8" thickBot="1" x14ac:dyDescent="0.3">
      <c r="A1" s="474" t="s">
        <v>240</v>
      </c>
      <c r="B1" s="70" t="s">
        <v>505</v>
      </c>
      <c r="C1" s="70" t="s">
        <v>506</v>
      </c>
    </row>
    <row r="2" spans="1:3" ht="15.6" x14ac:dyDescent="0.35">
      <c r="A2" s="475" t="s">
        <v>484</v>
      </c>
      <c r="B2" s="98" t="s">
        <v>507</v>
      </c>
      <c r="C2" s="98" t="s">
        <v>508</v>
      </c>
    </row>
    <row r="3" spans="1:3" ht="15.6" x14ac:dyDescent="0.35">
      <c r="A3" s="476" t="s">
        <v>509</v>
      </c>
      <c r="B3" s="99" t="s">
        <v>510</v>
      </c>
      <c r="C3" s="99" t="s">
        <v>511</v>
      </c>
    </row>
    <row r="4" spans="1:3" ht="15.6" x14ac:dyDescent="0.35">
      <c r="A4" s="476" t="s">
        <v>512</v>
      </c>
      <c r="B4" s="99" t="s">
        <v>513</v>
      </c>
      <c r="C4" s="99" t="s">
        <v>514</v>
      </c>
    </row>
    <row r="5" spans="1:3" ht="15.6" x14ac:dyDescent="0.35">
      <c r="A5" s="476" t="s">
        <v>515</v>
      </c>
      <c r="B5" s="99" t="s">
        <v>516</v>
      </c>
      <c r="C5" s="99" t="s">
        <v>517</v>
      </c>
    </row>
    <row r="6" spans="1:3" ht="15.6" x14ac:dyDescent="0.35">
      <c r="A6" s="476" t="s">
        <v>518</v>
      </c>
      <c r="B6" s="99" t="s">
        <v>519</v>
      </c>
      <c r="C6" s="99" t="s">
        <v>520</v>
      </c>
    </row>
    <row r="7" spans="1:3" ht="15.6" x14ac:dyDescent="0.35">
      <c r="A7" s="476" t="s">
        <v>521</v>
      </c>
      <c r="B7" s="99" t="s">
        <v>522</v>
      </c>
      <c r="C7" s="99" t="s">
        <v>523</v>
      </c>
    </row>
    <row r="8" spans="1:3" x14ac:dyDescent="0.25">
      <c r="A8" s="476"/>
      <c r="B8" s="99"/>
      <c r="C8" s="99"/>
    </row>
    <row r="9" spans="1:3" x14ac:dyDescent="0.25">
      <c r="A9" s="476"/>
      <c r="B9" s="99"/>
      <c r="C9" s="99"/>
    </row>
    <row r="10" spans="1:3" x14ac:dyDescent="0.25">
      <c r="A10" s="476"/>
      <c r="B10" s="99"/>
      <c r="C10" s="99"/>
    </row>
    <row r="11" spans="1:3" x14ac:dyDescent="0.25">
      <c r="A11" s="476"/>
      <c r="B11" s="99"/>
      <c r="C11" s="99"/>
    </row>
    <row r="12" spans="1:3" x14ac:dyDescent="0.25">
      <c r="A12" s="476"/>
      <c r="B12" s="99"/>
      <c r="C12" s="99"/>
    </row>
    <row r="13" spans="1:3" x14ac:dyDescent="0.25">
      <c r="A13" s="476"/>
      <c r="B13" s="99"/>
      <c r="C13" s="99"/>
    </row>
    <row r="14" spans="1:3" ht="15.6" x14ac:dyDescent="0.35">
      <c r="A14" s="476" t="s">
        <v>486</v>
      </c>
      <c r="B14" s="99" t="s">
        <v>524</v>
      </c>
      <c r="C14" s="99" t="s">
        <v>525</v>
      </c>
    </row>
    <row r="15" spans="1:3" ht="15.6" x14ac:dyDescent="0.35">
      <c r="A15" s="476" t="s">
        <v>487</v>
      </c>
      <c r="B15" s="99" t="s">
        <v>526</v>
      </c>
      <c r="C15" s="99" t="s">
        <v>527</v>
      </c>
    </row>
    <row r="16" spans="1:3" x14ac:dyDescent="0.25">
      <c r="A16" s="477"/>
      <c r="B16" s="99"/>
      <c r="C16" s="99"/>
    </row>
    <row r="17" spans="1:3" ht="13.8" thickBot="1" x14ac:dyDescent="0.3">
      <c r="A17" s="101"/>
      <c r="B17" s="100"/>
      <c r="C17" s="100"/>
    </row>
  </sheetData>
  <pageMargins left="0.75" right="0.75" top="1" bottom="1" header="0.5" footer="0.5"/>
  <pageSetup orientation="portrait" r:id="rId1"/>
  <headerFooter alignWithMargins="0"/>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01B2-4E1B-4503-8942-7BB30D10DA40}">
  <dimension ref="A1:C18"/>
  <sheetViews>
    <sheetView topLeftCell="A6" zoomScale="120" zoomScaleNormal="120" workbookViewId="0">
      <selection activeCell="C21" sqref="C21"/>
    </sheetView>
  </sheetViews>
  <sheetFormatPr baseColWidth="10" defaultColWidth="9.21875" defaultRowHeight="13.2" x14ac:dyDescent="0.25"/>
  <cols>
    <col min="1" max="1" width="9.21875" style="68"/>
    <col min="2" max="2" width="31.77734375" style="68" customWidth="1"/>
    <col min="3" max="3" width="67.5546875" style="68" bestFit="1" customWidth="1"/>
    <col min="4" max="16384" width="9.21875" style="68"/>
  </cols>
  <sheetData>
    <row r="1" spans="1:3" ht="13.8" thickBot="1" x14ac:dyDescent="0.3">
      <c r="A1" s="478" t="s">
        <v>240</v>
      </c>
      <c r="B1" s="104" t="s">
        <v>528</v>
      </c>
      <c r="C1" s="104" t="s">
        <v>529</v>
      </c>
    </row>
    <row r="2" spans="1:3" ht="15.6" x14ac:dyDescent="0.35">
      <c r="A2" s="475" t="s">
        <v>484</v>
      </c>
      <c r="B2" s="98" t="s">
        <v>530</v>
      </c>
      <c r="C2" s="98" t="s">
        <v>531</v>
      </c>
    </row>
    <row r="3" spans="1:3" ht="15.6" x14ac:dyDescent="0.35">
      <c r="A3" s="476" t="s">
        <v>509</v>
      </c>
      <c r="B3" s="99" t="s">
        <v>532</v>
      </c>
      <c r="C3" s="99" t="s">
        <v>533</v>
      </c>
    </row>
    <row r="4" spans="1:3" ht="15.6" x14ac:dyDescent="0.35">
      <c r="A4" s="476" t="s">
        <v>512</v>
      </c>
      <c r="B4" s="99" t="s">
        <v>534</v>
      </c>
      <c r="C4" s="99" t="s">
        <v>535</v>
      </c>
    </row>
    <row r="5" spans="1:3" ht="15.6" x14ac:dyDescent="0.35">
      <c r="A5" s="476" t="s">
        <v>515</v>
      </c>
      <c r="B5" s="99" t="s">
        <v>536</v>
      </c>
      <c r="C5" s="99" t="s">
        <v>537</v>
      </c>
    </row>
    <row r="6" spans="1:3" ht="15.6" x14ac:dyDescent="0.35">
      <c r="A6" s="476" t="s">
        <v>518</v>
      </c>
      <c r="B6" s="99" t="s">
        <v>538</v>
      </c>
      <c r="C6" s="99" t="s">
        <v>539</v>
      </c>
    </row>
    <row r="7" spans="1:3" ht="15.6" x14ac:dyDescent="0.35">
      <c r="A7" s="476" t="s">
        <v>521</v>
      </c>
      <c r="B7" s="99" t="s">
        <v>540</v>
      </c>
      <c r="C7" s="99" t="s">
        <v>541</v>
      </c>
    </row>
    <row r="8" spans="1:3" x14ac:dyDescent="0.25">
      <c r="A8" s="476"/>
      <c r="B8" s="99"/>
      <c r="C8" s="99"/>
    </row>
    <row r="9" spans="1:3" x14ac:dyDescent="0.25">
      <c r="A9" s="476"/>
      <c r="B9" s="99"/>
      <c r="C9" s="99"/>
    </row>
    <row r="10" spans="1:3" x14ac:dyDescent="0.25">
      <c r="A10" s="476"/>
      <c r="B10" s="99"/>
      <c r="C10" s="99"/>
    </row>
    <row r="11" spans="1:3" x14ac:dyDescent="0.25">
      <c r="A11" s="476"/>
      <c r="B11" s="99"/>
      <c r="C11" s="99"/>
    </row>
    <row r="12" spans="1:3" x14ac:dyDescent="0.25">
      <c r="A12" s="476"/>
      <c r="B12" s="99"/>
      <c r="C12" s="99"/>
    </row>
    <row r="13" spans="1:3" x14ac:dyDescent="0.25">
      <c r="A13" s="476"/>
      <c r="B13" s="99"/>
      <c r="C13" s="99"/>
    </row>
    <row r="14" spans="1:3" ht="15.6" x14ac:dyDescent="0.35">
      <c r="A14" s="476" t="s">
        <v>486</v>
      </c>
      <c r="B14" s="99" t="s">
        <v>542</v>
      </c>
      <c r="C14" s="99" t="s">
        <v>543</v>
      </c>
    </row>
    <row r="15" spans="1:3" ht="15.6" x14ac:dyDescent="0.35">
      <c r="A15" s="476" t="s">
        <v>487</v>
      </c>
      <c r="B15" s="99" t="s">
        <v>544</v>
      </c>
      <c r="C15" s="99" t="s">
        <v>545</v>
      </c>
    </row>
    <row r="16" spans="1:3" x14ac:dyDescent="0.25">
      <c r="A16" s="477"/>
      <c r="B16" s="99"/>
      <c r="C16" s="99"/>
    </row>
    <row r="17" spans="1:3" ht="13.8" thickBot="1" x14ac:dyDescent="0.3">
      <c r="A17" s="101"/>
      <c r="B17" s="100"/>
      <c r="C17" s="100"/>
    </row>
    <row r="18" spans="1:3" ht="27" customHeight="1" thickBot="1" x14ac:dyDescent="0.3">
      <c r="A18" s="479" t="s">
        <v>142</v>
      </c>
      <c r="B18" s="480" t="s">
        <v>546</v>
      </c>
      <c r="C18" s="481" t="s">
        <v>547</v>
      </c>
    </row>
  </sheetData>
  <pageMargins left="0.75" right="0.75" top="1" bottom="1" header="0.5" footer="0.5"/>
  <pageSetup orientation="portrait"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D467-BA38-43C2-9A9F-0004DB613945}">
  <dimension ref="A1:I11"/>
  <sheetViews>
    <sheetView zoomScale="118" zoomScaleNormal="118" workbookViewId="0">
      <selection activeCell="D16" sqref="D16"/>
    </sheetView>
  </sheetViews>
  <sheetFormatPr baseColWidth="10" defaultColWidth="9.21875" defaultRowHeight="13.2" x14ac:dyDescent="0.25"/>
  <cols>
    <col min="1" max="1" width="20.5546875" style="68" bestFit="1" customWidth="1"/>
    <col min="2" max="3" width="22.6640625" style="68" customWidth="1"/>
    <col min="4" max="4" width="24.88671875" style="68" bestFit="1" customWidth="1"/>
    <col min="5" max="6" width="10" style="68" bestFit="1" customWidth="1"/>
    <col min="7" max="16384" width="9.21875" style="68"/>
  </cols>
  <sheetData>
    <row r="1" spans="1:9" x14ac:dyDescent="0.25">
      <c r="A1" s="482" t="s">
        <v>6</v>
      </c>
      <c r="B1" s="482" t="s">
        <v>548</v>
      </c>
      <c r="C1" s="50"/>
      <c r="D1" s="137"/>
      <c r="F1" s="42"/>
      <c r="G1" s="42"/>
      <c r="H1" s="42"/>
      <c r="I1" s="42"/>
    </row>
    <row r="2" spans="1:9" ht="15" customHeight="1" x14ac:dyDescent="0.4">
      <c r="A2" s="483">
        <v>45323</v>
      </c>
      <c r="B2" s="484">
        <v>1</v>
      </c>
      <c r="C2" s="485" t="s">
        <v>549</v>
      </c>
      <c r="F2" s="486"/>
      <c r="G2" s="42"/>
      <c r="H2" s="42"/>
      <c r="I2" s="487"/>
    </row>
    <row r="3" spans="1:9" x14ac:dyDescent="0.25">
      <c r="A3" s="483">
        <f>EDATE(A2,6)</f>
        <v>45505</v>
      </c>
      <c r="B3" s="488">
        <v>0.99246687346862839</v>
      </c>
      <c r="C3" s="485" t="s">
        <v>550</v>
      </c>
      <c r="D3" s="84" t="s">
        <v>551</v>
      </c>
      <c r="F3" s="42"/>
      <c r="G3" s="42"/>
      <c r="H3" s="42"/>
      <c r="I3" s="42"/>
    </row>
    <row r="4" spans="1:9" x14ac:dyDescent="0.25">
      <c r="A4" s="483">
        <f t="shared" ref="A4:A8" si="0">EDATE(A3,6)</f>
        <v>45689</v>
      </c>
      <c r="B4" s="488">
        <v>0.97921896456945956</v>
      </c>
      <c r="C4" s="485" t="s">
        <v>552</v>
      </c>
      <c r="D4" s="84" t="s">
        <v>553</v>
      </c>
      <c r="F4" s="42"/>
      <c r="G4" s="42"/>
      <c r="H4" s="42"/>
      <c r="I4" s="42"/>
    </row>
    <row r="5" spans="1:9" x14ac:dyDescent="0.25">
      <c r="A5" s="483">
        <f t="shared" si="0"/>
        <v>45870</v>
      </c>
      <c r="B5" s="488">
        <v>0.96020261557029862</v>
      </c>
      <c r="C5" s="485" t="s">
        <v>554</v>
      </c>
      <c r="D5" s="84" t="s">
        <v>555</v>
      </c>
      <c r="F5" s="42"/>
      <c r="G5" s="42"/>
      <c r="H5" s="42"/>
      <c r="I5" s="42"/>
    </row>
    <row r="6" spans="1:9" x14ac:dyDescent="0.25">
      <c r="A6" s="483">
        <f t="shared" si="0"/>
        <v>46054</v>
      </c>
      <c r="B6" s="488">
        <v>0.92681620655938224</v>
      </c>
      <c r="C6" s="485" t="s">
        <v>556</v>
      </c>
      <c r="D6" s="84" t="s">
        <v>557</v>
      </c>
      <c r="F6" s="42"/>
      <c r="G6" s="42"/>
      <c r="H6" s="42"/>
      <c r="I6" s="42"/>
    </row>
    <row r="7" spans="1:9" x14ac:dyDescent="0.25">
      <c r="A7" s="483">
        <f t="shared" si="0"/>
        <v>46235</v>
      </c>
      <c r="B7" s="488">
        <v>0.89567216349461309</v>
      </c>
      <c r="C7" s="485" t="s">
        <v>558</v>
      </c>
      <c r="D7" s="84" t="s">
        <v>559</v>
      </c>
      <c r="F7" s="42"/>
      <c r="G7" s="42"/>
      <c r="H7" s="42"/>
      <c r="I7" s="42"/>
    </row>
    <row r="8" spans="1:9" x14ac:dyDescent="0.25">
      <c r="A8" s="483">
        <f t="shared" si="0"/>
        <v>46419</v>
      </c>
      <c r="B8" s="489">
        <v>0.83276815573709095</v>
      </c>
      <c r="C8" s="485"/>
      <c r="D8" s="84" t="s">
        <v>560</v>
      </c>
      <c r="F8" s="42"/>
      <c r="G8" s="42"/>
      <c r="H8" s="42"/>
      <c r="I8" s="42"/>
    </row>
    <row r="9" spans="1:9" x14ac:dyDescent="0.25">
      <c r="A9" s="103"/>
      <c r="B9" s="490"/>
      <c r="C9" s="137"/>
      <c r="F9" s="42"/>
      <c r="G9" s="42"/>
      <c r="H9" s="42"/>
      <c r="I9" s="42"/>
    </row>
    <row r="10" spans="1:9" x14ac:dyDescent="0.25">
      <c r="F10" s="42"/>
      <c r="G10" s="42"/>
      <c r="H10" s="42"/>
      <c r="I10" s="42"/>
    </row>
    <row r="11" spans="1:9" ht="22.8" x14ac:dyDescent="0.4">
      <c r="A11" s="42"/>
      <c r="B11" s="491"/>
      <c r="C11" s="491"/>
      <c r="E11" s="492"/>
    </row>
  </sheetData>
  <pageMargins left="0.75" right="0.75" top="1" bottom="1" header="0.5" footer="0.5"/>
  <pageSetup orientation="portrait"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1059-CB65-4B07-BEDD-43679BE99B30}">
  <dimension ref="A1:J11"/>
  <sheetViews>
    <sheetView zoomScale="118" zoomScaleNormal="118" workbookViewId="0">
      <selection activeCell="D3" sqref="D3"/>
    </sheetView>
  </sheetViews>
  <sheetFormatPr baseColWidth="10" defaultColWidth="9.21875" defaultRowHeight="13.2" x14ac:dyDescent="0.25"/>
  <cols>
    <col min="1" max="1" width="20.5546875" style="68" bestFit="1" customWidth="1"/>
    <col min="2" max="2" width="22.6640625" style="68" customWidth="1"/>
    <col min="3" max="3" width="7.5546875" style="68" bestFit="1" customWidth="1"/>
    <col min="4" max="4" width="13.109375" style="68" bestFit="1" customWidth="1"/>
    <col min="5" max="5" width="11.21875" style="68" customWidth="1"/>
    <col min="6" max="6" width="9.5546875" style="68" customWidth="1"/>
    <col min="7" max="7" width="10" style="68" bestFit="1" customWidth="1"/>
    <col min="8" max="16384" width="9.21875" style="68"/>
  </cols>
  <sheetData>
    <row r="1" spans="1:10" x14ac:dyDescent="0.25">
      <c r="A1" s="482" t="s">
        <v>6</v>
      </c>
      <c r="B1" s="482" t="s">
        <v>548</v>
      </c>
      <c r="C1" s="46" t="s">
        <v>561</v>
      </c>
      <c r="D1" s="46" t="s">
        <v>562</v>
      </c>
      <c r="E1" s="69" t="s">
        <v>563</v>
      </c>
      <c r="F1" s="69" t="s">
        <v>564</v>
      </c>
      <c r="G1" s="42"/>
      <c r="H1" s="42"/>
      <c r="I1" s="42"/>
      <c r="J1" s="42"/>
    </row>
    <row r="2" spans="1:10" ht="15" customHeight="1" x14ac:dyDescent="0.4">
      <c r="A2" s="483">
        <v>45323</v>
      </c>
      <c r="B2" s="484">
        <v>1</v>
      </c>
      <c r="C2" s="493"/>
      <c r="D2" s="493"/>
      <c r="E2" s="71"/>
      <c r="F2" s="71"/>
      <c r="G2" s="486"/>
      <c r="H2" s="42"/>
      <c r="I2" s="42"/>
      <c r="J2" s="487"/>
    </row>
    <row r="3" spans="1:10" x14ac:dyDescent="0.25">
      <c r="A3" s="483">
        <f>EDATE(A2,6)</f>
        <v>45505</v>
      </c>
      <c r="B3" s="488">
        <v>0.99246687346862839</v>
      </c>
      <c r="C3" s="494">
        <f>(A3-A2)/365</f>
        <v>0.49863013698630138</v>
      </c>
      <c r="D3" s="494">
        <f>((B2/B3)-1)/C3</f>
        <v>1.5222315496597033E-2</v>
      </c>
      <c r="E3" s="495">
        <f>D3*C3*B3</f>
        <v>7.5331265313716405E-3</v>
      </c>
      <c r="F3" s="495">
        <f>C3*B3</f>
        <v>0.49487389307202839</v>
      </c>
      <c r="G3" s="42"/>
      <c r="H3" s="42"/>
      <c r="I3" s="42"/>
      <c r="J3" s="42"/>
    </row>
    <row r="4" spans="1:10" x14ac:dyDescent="0.25">
      <c r="A4" s="483">
        <f t="shared" ref="A4:A8" si="0">EDATE(A3,6)</f>
        <v>45689</v>
      </c>
      <c r="B4" s="488">
        <v>0.97921896456945956</v>
      </c>
      <c r="C4" s="494">
        <f t="shared" ref="C4:C8" si="1">(A4-A3)/365</f>
        <v>0.50410958904109593</v>
      </c>
      <c r="D4" s="494">
        <f t="shared" ref="D4:D8" si="2">((B3/B4)-1)/C4</f>
        <v>2.6837530965540504E-2</v>
      </c>
      <c r="E4" s="495">
        <f t="shared" ref="E4:E8" si="3">D4*C4*B4</f>
        <v>1.3247908899168872E-2</v>
      </c>
      <c r="F4" s="495">
        <f t="shared" ref="F4:F8" si="4">C4*B4</f>
        <v>0.49363366981035772</v>
      </c>
      <c r="G4" s="42"/>
      <c r="H4" s="43" t="s">
        <v>565</v>
      </c>
      <c r="I4" s="496">
        <f>E9/F9</f>
        <v>5.9814495591644298E-2</v>
      </c>
      <c r="J4" s="42"/>
    </row>
    <row r="5" spans="1:10" x14ac:dyDescent="0.25">
      <c r="A5" s="483">
        <f t="shared" si="0"/>
        <v>45870</v>
      </c>
      <c r="B5" s="488">
        <v>0.96020261557029862</v>
      </c>
      <c r="C5" s="494">
        <f t="shared" si="1"/>
        <v>0.49589041095890413</v>
      </c>
      <c r="D5" s="494">
        <f t="shared" si="2"/>
        <v>3.9937285611854126E-2</v>
      </c>
      <c r="E5" s="495">
        <f t="shared" si="3"/>
        <v>1.9016348999160958E-2</v>
      </c>
      <c r="F5" s="495">
        <f t="shared" si="4"/>
        <v>0.47615526963897004</v>
      </c>
      <c r="G5" s="42"/>
      <c r="H5" s="42"/>
      <c r="I5" s="42"/>
      <c r="J5" s="42"/>
    </row>
    <row r="6" spans="1:10" x14ac:dyDescent="0.25">
      <c r="A6" s="483">
        <f t="shared" si="0"/>
        <v>46054</v>
      </c>
      <c r="B6" s="488">
        <v>0.92681620655938224</v>
      </c>
      <c r="C6" s="494">
        <f t="shared" si="1"/>
        <v>0.50410958904109593</v>
      </c>
      <c r="D6" s="494">
        <f t="shared" si="2"/>
        <v>7.1458045217524607E-2</v>
      </c>
      <c r="E6" s="495">
        <f t="shared" si="3"/>
        <v>3.3386409010916475E-2</v>
      </c>
      <c r="F6" s="495">
        <f t="shared" si="4"/>
        <v>0.46721693700527767</v>
      </c>
      <c r="G6" s="42"/>
      <c r="H6" s="42"/>
      <c r="I6" s="42"/>
      <c r="J6" s="42"/>
    </row>
    <row r="7" spans="1:10" x14ac:dyDescent="0.25">
      <c r="A7" s="483">
        <f t="shared" si="0"/>
        <v>46235</v>
      </c>
      <c r="B7" s="488">
        <v>0.89567216349461309</v>
      </c>
      <c r="C7" s="494">
        <f t="shared" si="1"/>
        <v>0.49589041095890413</v>
      </c>
      <c r="D7" s="494">
        <f t="shared" si="2"/>
        <v>7.011972493742033E-2</v>
      </c>
      <c r="E7" s="495">
        <f t="shared" si="3"/>
        <v>3.1144043064769058E-2</v>
      </c>
      <c r="F7" s="495">
        <f t="shared" si="4"/>
        <v>0.44415523723979444</v>
      </c>
      <c r="G7" s="42"/>
      <c r="H7" s="42"/>
      <c r="I7" s="42"/>
      <c r="J7" s="42"/>
    </row>
    <row r="8" spans="1:10" x14ac:dyDescent="0.25">
      <c r="A8" s="483">
        <f t="shared" si="0"/>
        <v>46419</v>
      </c>
      <c r="B8" s="489">
        <v>0.83276815573709095</v>
      </c>
      <c r="C8" s="497">
        <f t="shared" si="1"/>
        <v>0.50410958904109593</v>
      </c>
      <c r="D8" s="497">
        <f t="shared" si="2"/>
        <v>0.1498405118318491</v>
      </c>
      <c r="E8" s="498">
        <f t="shared" si="3"/>
        <v>6.2904007757522126E-2</v>
      </c>
      <c r="F8" s="498">
        <f t="shared" si="4"/>
        <v>0.4198064127551363</v>
      </c>
      <c r="G8" s="42"/>
      <c r="H8" s="42"/>
      <c r="I8" s="42"/>
      <c r="J8" s="42"/>
    </row>
    <row r="9" spans="1:10" x14ac:dyDescent="0.25">
      <c r="A9" s="103"/>
      <c r="B9" s="490"/>
      <c r="C9" s="137"/>
      <c r="D9" s="69" t="s">
        <v>142</v>
      </c>
      <c r="E9" s="77">
        <f>SUM(E2:E8)</f>
        <v>0.16723184426290916</v>
      </c>
      <c r="F9" s="77">
        <f>SUM(F2:F8)</f>
        <v>2.7958414195215644</v>
      </c>
      <c r="G9" s="42"/>
      <c r="H9" s="42"/>
      <c r="I9" s="42"/>
      <c r="J9" s="42"/>
    </row>
    <row r="10" spans="1:10" x14ac:dyDescent="0.25">
      <c r="G10" s="42"/>
      <c r="H10" s="42"/>
      <c r="I10" s="42"/>
      <c r="J10" s="42"/>
    </row>
    <row r="11" spans="1:10" ht="22.8" x14ac:dyDescent="0.4">
      <c r="A11" s="42"/>
      <c r="B11" s="491"/>
      <c r="C11" s="491"/>
      <c r="D11" s="491"/>
      <c r="F11" s="492"/>
    </row>
  </sheetData>
  <pageMargins left="0.75" right="0.75" top="1" bottom="1" header="0.5" footer="0.5"/>
  <pageSetup orientation="portrait" r:id="rId1"/>
  <headerFooter alignWithMargins="0"/>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B9C3-0A2C-4333-9976-35905FC2B456}">
  <dimension ref="A1:D11"/>
  <sheetViews>
    <sheetView zoomScale="118" zoomScaleNormal="118" workbookViewId="0">
      <selection activeCell="F16" sqref="F16"/>
    </sheetView>
  </sheetViews>
  <sheetFormatPr baseColWidth="10" defaultColWidth="9.21875" defaultRowHeight="13.2" x14ac:dyDescent="0.25"/>
  <cols>
    <col min="1" max="1" width="20.5546875" style="68" bestFit="1" customWidth="1"/>
    <col min="2" max="2" width="22.6640625" style="68" customWidth="1"/>
    <col min="3" max="3" width="10" style="68" bestFit="1" customWidth="1"/>
    <col min="4" max="16384" width="9.21875" style="68"/>
  </cols>
  <sheetData>
    <row r="1" spans="1:4" x14ac:dyDescent="0.25">
      <c r="A1" s="482" t="s">
        <v>6</v>
      </c>
      <c r="B1" s="482" t="s">
        <v>548</v>
      </c>
      <c r="C1" s="42"/>
      <c r="D1" s="42"/>
    </row>
    <row r="2" spans="1:4" ht="15" customHeight="1" x14ac:dyDescent="0.4">
      <c r="A2" s="483">
        <v>45323</v>
      </c>
      <c r="B2" s="484">
        <v>1</v>
      </c>
      <c r="C2" s="486"/>
      <c r="D2" s="487"/>
    </row>
    <row r="3" spans="1:4" x14ac:dyDescent="0.25">
      <c r="A3" s="483">
        <f>EDATE(A2,6)</f>
        <v>45505</v>
      </c>
      <c r="B3" s="488">
        <v>0.99246687346862839</v>
      </c>
      <c r="C3" s="42"/>
      <c r="D3" s="42"/>
    </row>
    <row r="4" spans="1:4" x14ac:dyDescent="0.25">
      <c r="A4" s="483">
        <f t="shared" ref="A4:A8" si="0">EDATE(A3,6)</f>
        <v>45689</v>
      </c>
      <c r="B4" s="488">
        <v>0.97921896456945956</v>
      </c>
      <c r="C4" s="42"/>
      <c r="D4" s="42"/>
    </row>
    <row r="5" spans="1:4" x14ac:dyDescent="0.25">
      <c r="A5" s="483">
        <f t="shared" si="0"/>
        <v>45870</v>
      </c>
      <c r="B5" s="488">
        <v>0.96020261557029862</v>
      </c>
      <c r="C5" s="42"/>
      <c r="D5" s="42"/>
    </row>
    <row r="6" spans="1:4" x14ac:dyDescent="0.25">
      <c r="A6" s="483">
        <f t="shared" si="0"/>
        <v>46054</v>
      </c>
      <c r="B6" s="488">
        <v>0.92681620655938224</v>
      </c>
      <c r="C6" s="42"/>
      <c r="D6" s="42"/>
    </row>
    <row r="7" spans="1:4" x14ac:dyDescent="0.25">
      <c r="A7" s="483">
        <f t="shared" si="0"/>
        <v>46235</v>
      </c>
      <c r="B7" s="488">
        <v>0.89567216349461309</v>
      </c>
      <c r="C7" s="42"/>
      <c r="D7" s="42"/>
    </row>
    <row r="8" spans="1:4" x14ac:dyDescent="0.25">
      <c r="A8" s="483">
        <f t="shared" si="0"/>
        <v>46419</v>
      </c>
      <c r="B8" s="489">
        <v>0.83276815573709095</v>
      </c>
      <c r="C8" s="42"/>
      <c r="D8" s="42"/>
    </row>
    <row r="9" spans="1:4" x14ac:dyDescent="0.25">
      <c r="A9" s="103"/>
      <c r="B9" s="490"/>
      <c r="C9" s="42"/>
      <c r="D9" s="42"/>
    </row>
    <row r="10" spans="1:4" x14ac:dyDescent="0.25">
      <c r="C10" s="42"/>
      <c r="D10" s="42"/>
    </row>
    <row r="11" spans="1:4" x14ac:dyDescent="0.25">
      <c r="A11" s="42"/>
      <c r="B11" s="491"/>
    </row>
  </sheetData>
  <pageMargins left="0.75" right="0.75" top="1" bottom="1" header="0.5" footer="0.5"/>
  <pageSetup orientation="portrait"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A35C-1A29-44A3-949F-2DD9634F5C33}">
  <dimension ref="A1:J11"/>
  <sheetViews>
    <sheetView zoomScale="118" zoomScaleNormal="118" workbookViewId="0">
      <selection activeCell="H14" sqref="H14"/>
    </sheetView>
  </sheetViews>
  <sheetFormatPr baseColWidth="10" defaultColWidth="9.21875" defaultRowHeight="13.2" x14ac:dyDescent="0.25"/>
  <cols>
    <col min="1" max="1" width="20.5546875" style="68" bestFit="1" customWidth="1"/>
    <col min="2" max="2" width="22.6640625" style="68" customWidth="1"/>
    <col min="3" max="3" width="7.5546875" style="68" bestFit="1" customWidth="1"/>
    <col min="4" max="4" width="13.109375" style="68" bestFit="1" customWidth="1"/>
    <col min="5" max="5" width="11.21875" style="68" customWidth="1"/>
    <col min="6" max="6" width="9.5546875" style="68" customWidth="1"/>
    <col min="7" max="7" width="10" style="68" bestFit="1" customWidth="1"/>
    <col min="8" max="16384" width="9.21875" style="68"/>
  </cols>
  <sheetData>
    <row r="1" spans="1:10" x14ac:dyDescent="0.25">
      <c r="A1" s="482" t="s">
        <v>6</v>
      </c>
      <c r="B1" s="482" t="s">
        <v>548</v>
      </c>
      <c r="C1" s="46" t="s">
        <v>561</v>
      </c>
      <c r="D1" s="46" t="s">
        <v>562</v>
      </c>
      <c r="E1" s="69" t="s">
        <v>563</v>
      </c>
      <c r="F1" s="69" t="s">
        <v>564</v>
      </c>
      <c r="G1" s="42"/>
      <c r="H1" s="42"/>
      <c r="I1" s="42"/>
      <c r="J1" s="42"/>
    </row>
    <row r="2" spans="1:10" ht="15" customHeight="1" x14ac:dyDescent="0.4">
      <c r="A2" s="483">
        <v>45323</v>
      </c>
      <c r="B2" s="484">
        <v>1</v>
      </c>
      <c r="C2" s="493"/>
      <c r="D2" s="493"/>
      <c r="E2" s="71"/>
      <c r="F2" s="71"/>
      <c r="G2" s="486"/>
      <c r="H2" s="42"/>
      <c r="I2" s="42"/>
      <c r="J2" s="487"/>
    </row>
    <row r="3" spans="1:10" x14ac:dyDescent="0.25">
      <c r="A3" s="483">
        <f>EDATE(A2,6)</f>
        <v>45505</v>
      </c>
      <c r="B3" s="488">
        <v>0.99246687346862839</v>
      </c>
      <c r="C3" s="494"/>
      <c r="D3" s="494"/>
      <c r="E3" s="495"/>
      <c r="F3" s="495"/>
      <c r="G3" s="42"/>
      <c r="H3" s="42"/>
      <c r="I3" s="42"/>
      <c r="J3" s="42"/>
    </row>
    <row r="4" spans="1:10" x14ac:dyDescent="0.25">
      <c r="A4" s="483">
        <f t="shared" ref="A4:A8" si="0">EDATE(A3,6)</f>
        <v>45689</v>
      </c>
      <c r="B4" s="488">
        <v>0.97921896456945956</v>
      </c>
      <c r="C4" s="494">
        <f>(A4-A2)/365</f>
        <v>1.0027397260273974</v>
      </c>
      <c r="D4" s="494">
        <f>((B2/B4)-1)/C4</f>
        <v>2.1164067889885247E-2</v>
      </c>
      <c r="E4" s="495">
        <f t="shared" ref="E4:E8" si="1">D4*C4*B4</f>
        <v>2.0781035430540527E-2</v>
      </c>
      <c r="F4" s="495">
        <f t="shared" ref="F4:F8" si="2">C4*B4</f>
        <v>0.98190175625321163</v>
      </c>
      <c r="G4" s="42"/>
      <c r="H4" s="43" t="s">
        <v>565</v>
      </c>
      <c r="I4" s="496">
        <f>E9/F9</f>
        <v>6.1000434447349719E-2</v>
      </c>
      <c r="J4" s="42"/>
    </row>
    <row r="5" spans="1:10" x14ac:dyDescent="0.25">
      <c r="A5" s="483">
        <f t="shared" si="0"/>
        <v>45870</v>
      </c>
      <c r="B5" s="488">
        <v>0.96020261557029862</v>
      </c>
      <c r="C5" s="494"/>
      <c r="D5" s="494"/>
      <c r="E5" s="495"/>
      <c r="F5" s="495"/>
      <c r="G5" s="42"/>
      <c r="H5" s="42"/>
      <c r="I5" s="42"/>
      <c r="J5" s="42"/>
    </row>
    <row r="6" spans="1:10" x14ac:dyDescent="0.25">
      <c r="A6" s="483">
        <f t="shared" si="0"/>
        <v>46054</v>
      </c>
      <c r="B6" s="488">
        <v>0.92681620655938224</v>
      </c>
      <c r="C6" s="494">
        <f>(A6-A4)/365</f>
        <v>1</v>
      </c>
      <c r="D6" s="494">
        <f>((B4/B6)-1)/C6</f>
        <v>5.6540614675494316E-2</v>
      </c>
      <c r="E6" s="495">
        <f t="shared" si="1"/>
        <v>5.2402758010077377E-2</v>
      </c>
      <c r="F6" s="495">
        <f t="shared" si="2"/>
        <v>0.92681620655938224</v>
      </c>
      <c r="G6" s="42"/>
      <c r="H6" s="42"/>
      <c r="I6" s="42"/>
      <c r="J6" s="42"/>
    </row>
    <row r="7" spans="1:10" x14ac:dyDescent="0.25">
      <c r="A7" s="483">
        <f t="shared" si="0"/>
        <v>46235</v>
      </c>
      <c r="B7" s="488">
        <v>0.89567216349461309</v>
      </c>
      <c r="C7" s="494"/>
      <c r="D7" s="494"/>
      <c r="E7" s="495"/>
      <c r="F7" s="495"/>
      <c r="G7" s="42"/>
      <c r="H7" s="42"/>
      <c r="I7" s="42"/>
      <c r="J7" s="42"/>
    </row>
    <row r="8" spans="1:10" x14ac:dyDescent="0.25">
      <c r="A8" s="483">
        <f t="shared" si="0"/>
        <v>46419</v>
      </c>
      <c r="B8" s="489">
        <v>0.83276815573709095</v>
      </c>
      <c r="C8" s="497">
        <f>(A8-A6)/365</f>
        <v>1</v>
      </c>
      <c r="D8" s="494">
        <f>((B6/B8)-1)/C8</f>
        <v>0.1129342544793257</v>
      </c>
      <c r="E8" s="498">
        <f t="shared" si="1"/>
        <v>9.4048050822291368E-2</v>
      </c>
      <c r="F8" s="498">
        <f t="shared" si="2"/>
        <v>0.83276815573709095</v>
      </c>
      <c r="G8" s="42"/>
      <c r="H8" s="42"/>
      <c r="I8" s="42"/>
      <c r="J8" s="42"/>
    </row>
    <row r="9" spans="1:10" x14ac:dyDescent="0.25">
      <c r="A9" s="103"/>
      <c r="B9" s="490"/>
      <c r="C9" s="137"/>
      <c r="D9" s="69" t="s">
        <v>142</v>
      </c>
      <c r="E9" s="77">
        <f>SUM(E2:E8)</f>
        <v>0.16723184426290927</v>
      </c>
      <c r="F9" s="77">
        <f>SUM(F2:F8)</f>
        <v>2.7414861185496848</v>
      </c>
      <c r="G9" s="42"/>
      <c r="H9" s="42"/>
      <c r="I9" s="42"/>
      <c r="J9" s="42"/>
    </row>
    <row r="10" spans="1:10" x14ac:dyDescent="0.25">
      <c r="G10" s="42"/>
      <c r="H10" s="42"/>
      <c r="I10" s="42"/>
      <c r="J10" s="42"/>
    </row>
    <row r="11" spans="1:10" ht="22.8" x14ac:dyDescent="0.4">
      <c r="A11" s="42"/>
      <c r="B11" s="491"/>
      <c r="C11" s="491"/>
      <c r="D11" s="491"/>
      <c r="F11" s="492"/>
    </row>
  </sheetData>
  <pageMargins left="0.75" right="0.75" top="1" bottom="1" header="0.5" footer="0.5"/>
  <pageSetup orientation="portrait" r:id="rId1"/>
  <headerFooter alignWithMargins="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54CE-864B-4113-8EFB-FA18C18C39B8}">
  <dimension ref="A1:H12"/>
  <sheetViews>
    <sheetView zoomScale="89" zoomScaleNormal="74" workbookViewId="0">
      <selection activeCell="B11" sqref="B11"/>
    </sheetView>
  </sheetViews>
  <sheetFormatPr baseColWidth="10" defaultColWidth="9.21875" defaultRowHeight="13.2" x14ac:dyDescent="0.25"/>
  <cols>
    <col min="1" max="1" width="20.5546875" style="68" bestFit="1" customWidth="1"/>
    <col min="2" max="2" width="22.6640625" style="68" customWidth="1"/>
    <col min="3" max="3" width="7.5546875" style="68" bestFit="1" customWidth="1"/>
    <col min="4" max="4" width="13.109375" style="68" bestFit="1" customWidth="1"/>
    <col min="5" max="6" width="11.88671875" style="68" bestFit="1" customWidth="1"/>
    <col min="7" max="16384" width="9.21875" style="68"/>
  </cols>
  <sheetData>
    <row r="1" spans="1:8" x14ac:dyDescent="0.25">
      <c r="A1" s="482" t="s">
        <v>6</v>
      </c>
      <c r="B1" s="482" t="s">
        <v>548</v>
      </c>
      <c r="C1" s="46" t="s">
        <v>561</v>
      </c>
      <c r="D1" s="52" t="s">
        <v>562</v>
      </c>
      <c r="E1" s="69" t="s">
        <v>563</v>
      </c>
      <c r="F1" s="69" t="s">
        <v>564</v>
      </c>
      <c r="G1" s="42"/>
      <c r="H1" s="42"/>
    </row>
    <row r="2" spans="1:8" ht="16.5" customHeight="1" x14ac:dyDescent="0.4">
      <c r="A2" s="499">
        <v>45323</v>
      </c>
      <c r="B2" s="484">
        <v>1</v>
      </c>
      <c r="C2" s="143"/>
      <c r="D2" s="71"/>
      <c r="E2" s="500"/>
      <c r="F2" s="47"/>
      <c r="G2" s="42"/>
      <c r="H2" s="487"/>
    </row>
    <row r="3" spans="1:8" x14ac:dyDescent="0.25">
      <c r="A3" s="483">
        <f t="shared" ref="A3:A8" si="0">EDATE(A2,6)</f>
        <v>45505</v>
      </c>
      <c r="B3" s="488">
        <v>0.99246687346862839</v>
      </c>
      <c r="C3" s="501">
        <f>(A3-A2)/365</f>
        <v>0.49863013698630138</v>
      </c>
      <c r="D3" s="138">
        <f t="shared" ref="D3:D8" si="1">((B2/B3)-1)/C3</f>
        <v>1.5222315496597033E-2</v>
      </c>
      <c r="E3" s="255">
        <f t="shared" ref="E3:E8" si="2">D3*C3*B3</f>
        <v>7.5331265313716405E-3</v>
      </c>
      <c r="F3" s="60">
        <f>C3*B3</f>
        <v>0.49487389307202839</v>
      </c>
      <c r="G3" s="42"/>
      <c r="H3" s="42"/>
    </row>
    <row r="4" spans="1:8" x14ac:dyDescent="0.25">
      <c r="A4" s="483">
        <f t="shared" si="0"/>
        <v>45689</v>
      </c>
      <c r="B4" s="488">
        <v>0.97921896456945956</v>
      </c>
      <c r="C4" s="501">
        <f t="shared" ref="C4:C8" si="3">(A4-A3)/365</f>
        <v>0.50410958904109593</v>
      </c>
      <c r="D4" s="138">
        <f t="shared" si="1"/>
        <v>2.6837530965540504E-2</v>
      </c>
      <c r="E4" s="255">
        <f t="shared" si="2"/>
        <v>1.3247908899168872E-2</v>
      </c>
      <c r="F4" s="60">
        <f t="shared" ref="F4:F8" si="4">C4*B4</f>
        <v>0.49363366981035772</v>
      </c>
      <c r="G4" s="42"/>
      <c r="H4" s="42"/>
    </row>
    <row r="5" spans="1:8" x14ac:dyDescent="0.25">
      <c r="A5" s="483">
        <f t="shared" si="0"/>
        <v>45870</v>
      </c>
      <c r="B5" s="488">
        <v>0.96020261557029862</v>
      </c>
      <c r="C5" s="501">
        <f t="shared" si="3"/>
        <v>0.49589041095890413</v>
      </c>
      <c r="D5" s="138">
        <f t="shared" si="1"/>
        <v>3.9937285611854126E-2</v>
      </c>
      <c r="E5" s="255">
        <f t="shared" si="2"/>
        <v>1.9016348999160958E-2</v>
      </c>
      <c r="F5" s="60">
        <f t="shared" si="4"/>
        <v>0.47615526963897004</v>
      </c>
      <c r="G5" s="42"/>
      <c r="H5" s="42"/>
    </row>
    <row r="6" spans="1:8" x14ac:dyDescent="0.25">
      <c r="A6" s="483">
        <f t="shared" si="0"/>
        <v>46054</v>
      </c>
      <c r="B6" s="488">
        <v>0.92681620655938224</v>
      </c>
      <c r="C6" s="501">
        <f t="shared" si="3"/>
        <v>0.50410958904109593</v>
      </c>
      <c r="D6" s="138">
        <f t="shared" si="1"/>
        <v>7.1458045217524607E-2</v>
      </c>
      <c r="E6" s="255">
        <f t="shared" si="2"/>
        <v>3.3386409010916475E-2</v>
      </c>
      <c r="F6" s="60">
        <f t="shared" si="4"/>
        <v>0.46721693700527767</v>
      </c>
      <c r="G6" s="42"/>
      <c r="H6" s="42"/>
    </row>
    <row r="7" spans="1:8" x14ac:dyDescent="0.25">
      <c r="A7" s="483">
        <f t="shared" si="0"/>
        <v>46235</v>
      </c>
      <c r="B7" s="488">
        <v>0.89567216349461309</v>
      </c>
      <c r="C7" s="501">
        <f t="shared" si="3"/>
        <v>0.49589041095890413</v>
      </c>
      <c r="D7" s="138">
        <f t="shared" si="1"/>
        <v>7.011972493742033E-2</v>
      </c>
      <c r="E7" s="255">
        <f t="shared" si="2"/>
        <v>3.1144043064769058E-2</v>
      </c>
      <c r="F7" s="60">
        <f t="shared" si="4"/>
        <v>0.44415523723979444</v>
      </c>
      <c r="G7" s="42"/>
      <c r="H7" s="42"/>
    </row>
    <row r="8" spans="1:8" x14ac:dyDescent="0.25">
      <c r="A8" s="483">
        <f t="shared" si="0"/>
        <v>46419</v>
      </c>
      <c r="B8" s="489">
        <v>0.83276815573709095</v>
      </c>
      <c r="C8" s="502">
        <f t="shared" si="3"/>
        <v>0.50410958904109593</v>
      </c>
      <c r="D8" s="141">
        <f t="shared" si="1"/>
        <v>0.1498405118318491</v>
      </c>
      <c r="E8" s="240">
        <f t="shared" si="2"/>
        <v>6.2904007757522126E-2</v>
      </c>
      <c r="F8" s="503">
        <f t="shared" si="4"/>
        <v>0.4198064127551363</v>
      </c>
      <c r="G8" s="42"/>
      <c r="H8" s="42"/>
    </row>
    <row r="9" spans="1:8" x14ac:dyDescent="0.25">
      <c r="A9" s="103"/>
      <c r="B9" s="490"/>
      <c r="D9" s="141" t="s">
        <v>142</v>
      </c>
      <c r="E9" s="241">
        <f>SUM(E2:E8)</f>
        <v>0.16723184426290916</v>
      </c>
      <c r="F9" s="243">
        <f>SUM(F2:F8)</f>
        <v>2.7958414195215644</v>
      </c>
      <c r="G9" s="42"/>
      <c r="H9" s="42"/>
    </row>
    <row r="10" spans="1:8" x14ac:dyDescent="0.25">
      <c r="E10" s="42"/>
      <c r="F10" s="42"/>
      <c r="G10" s="42"/>
      <c r="H10" s="42"/>
    </row>
    <row r="11" spans="1:8" ht="22.8" x14ac:dyDescent="0.4">
      <c r="A11" s="68" t="s">
        <v>566</v>
      </c>
      <c r="B11" s="504">
        <f>E9/F9</f>
        <v>5.9814495591644298E-2</v>
      </c>
      <c r="D11" s="492"/>
    </row>
    <row r="12" spans="1:8" x14ac:dyDescent="0.25">
      <c r="A12" s="68" t="s">
        <v>567</v>
      </c>
      <c r="B12" s="504">
        <f>(1-B8)/F9</f>
        <v>5.9814495591644264E-2</v>
      </c>
    </row>
  </sheetData>
  <pageMargins left="0.75" right="0.75" top="1" bottom="1" header="0.5" footer="0.5"/>
  <pageSetup orientation="portrait" r:id="rId1"/>
  <headerFooter alignWithMargins="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5B79E-995C-41FF-B1DB-9E846D07790F}">
  <dimension ref="A1:B11"/>
  <sheetViews>
    <sheetView zoomScale="118" zoomScaleNormal="118" workbookViewId="0">
      <selection activeCell="B12" sqref="B12"/>
    </sheetView>
  </sheetViews>
  <sheetFormatPr baseColWidth="10" defaultColWidth="9.21875" defaultRowHeight="13.2" x14ac:dyDescent="0.25"/>
  <cols>
    <col min="1" max="1" width="20.5546875" style="68" bestFit="1" customWidth="1"/>
    <col min="2" max="2" width="22.6640625" style="68" customWidth="1"/>
    <col min="3" max="16384" width="9.21875" style="68"/>
  </cols>
  <sheetData>
    <row r="1" spans="1:2" x14ac:dyDescent="0.25">
      <c r="A1" s="482" t="s">
        <v>6</v>
      </c>
      <c r="B1" s="482" t="s">
        <v>548</v>
      </c>
    </row>
    <row r="2" spans="1:2" ht="15" customHeight="1" x14ac:dyDescent="0.25">
      <c r="A2" s="483">
        <v>45323</v>
      </c>
      <c r="B2" s="484">
        <v>1</v>
      </c>
    </row>
    <row r="3" spans="1:2" x14ac:dyDescent="0.25">
      <c r="A3" s="483">
        <f>EDATE(A2,6)</f>
        <v>45505</v>
      </c>
      <c r="B3" s="488">
        <v>0.99246687346862839</v>
      </c>
    </row>
    <row r="4" spans="1:2" x14ac:dyDescent="0.25">
      <c r="A4" s="483">
        <f t="shared" ref="A4:A8" si="0">EDATE(A3,6)</f>
        <v>45689</v>
      </c>
      <c r="B4" s="488">
        <v>0.97921896456945956</v>
      </c>
    </row>
    <row r="5" spans="1:2" x14ac:dyDescent="0.25">
      <c r="A5" s="483">
        <f t="shared" si="0"/>
        <v>45870</v>
      </c>
      <c r="B5" s="488">
        <v>0.96020261557029862</v>
      </c>
    </row>
    <row r="6" spans="1:2" x14ac:dyDescent="0.25">
      <c r="A6" s="483">
        <f t="shared" si="0"/>
        <v>46054</v>
      </c>
      <c r="B6" s="488">
        <v>0.92681620655938224</v>
      </c>
    </row>
    <row r="7" spans="1:2" x14ac:dyDescent="0.25">
      <c r="A7" s="483">
        <f t="shared" si="0"/>
        <v>46235</v>
      </c>
      <c r="B7" s="488">
        <v>0.89567216349461309</v>
      </c>
    </row>
    <row r="8" spans="1:2" x14ac:dyDescent="0.25">
      <c r="A8" s="483">
        <f t="shared" si="0"/>
        <v>46419</v>
      </c>
      <c r="B8" s="489">
        <v>0.83276815573709095</v>
      </c>
    </row>
    <row r="9" spans="1:2" x14ac:dyDescent="0.25">
      <c r="A9" s="103"/>
      <c r="B9" s="490"/>
    </row>
    <row r="11" spans="1:2" x14ac:dyDescent="0.25">
      <c r="A11" s="42"/>
      <c r="B11" s="491"/>
    </row>
  </sheetData>
  <pageMargins left="0.75" right="0.75" top="1" bottom="1" header="0.5" footer="0.5"/>
  <pageSetup orientation="portrait"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FBD5-B2F2-48E5-A7D2-BE049448851F}">
  <dimension ref="A1:J11"/>
  <sheetViews>
    <sheetView zoomScale="118" zoomScaleNormal="118" workbookViewId="0">
      <selection activeCell="I5" sqref="I5"/>
    </sheetView>
  </sheetViews>
  <sheetFormatPr baseColWidth="10" defaultColWidth="9.21875" defaultRowHeight="13.2" x14ac:dyDescent="0.25"/>
  <cols>
    <col min="1" max="1" width="20.5546875" style="68" bestFit="1" customWidth="1"/>
    <col min="2" max="2" width="22.6640625" style="68" customWidth="1"/>
    <col min="3" max="3" width="7.5546875" style="68" bestFit="1" customWidth="1"/>
    <col min="4" max="4" width="13.109375" style="68" bestFit="1" customWidth="1"/>
    <col min="5" max="5" width="11.21875" style="68" customWidth="1"/>
    <col min="6" max="6" width="9.5546875" style="68" customWidth="1"/>
    <col min="7" max="7" width="10" style="68" bestFit="1" customWidth="1"/>
    <col min="8" max="16384" width="9.21875" style="68"/>
  </cols>
  <sheetData>
    <row r="1" spans="1:10" x14ac:dyDescent="0.25">
      <c r="A1" s="482" t="s">
        <v>6</v>
      </c>
      <c r="B1" s="482" t="s">
        <v>548</v>
      </c>
      <c r="C1" s="46" t="s">
        <v>561</v>
      </c>
      <c r="D1" s="46" t="s">
        <v>562</v>
      </c>
      <c r="E1" s="69" t="s">
        <v>563</v>
      </c>
      <c r="F1" s="69" t="s">
        <v>564</v>
      </c>
      <c r="G1" s="42"/>
      <c r="H1" s="42"/>
      <c r="I1" s="42"/>
      <c r="J1" s="42"/>
    </row>
    <row r="2" spans="1:10" ht="15" customHeight="1" x14ac:dyDescent="0.4">
      <c r="A2" s="483">
        <v>45323</v>
      </c>
      <c r="B2" s="484">
        <v>1</v>
      </c>
      <c r="C2" s="493"/>
      <c r="D2" s="493"/>
      <c r="E2" s="71"/>
      <c r="F2" s="71"/>
      <c r="G2" s="486"/>
      <c r="H2" s="42"/>
      <c r="I2" s="42"/>
      <c r="J2" s="487"/>
    </row>
    <row r="3" spans="1:10" x14ac:dyDescent="0.25">
      <c r="A3" s="483">
        <f>EDATE(A2,6)</f>
        <v>45505</v>
      </c>
      <c r="B3" s="488">
        <v>0.99246687346862839</v>
      </c>
      <c r="C3" s="494"/>
      <c r="D3" s="494"/>
      <c r="E3" s="495"/>
      <c r="F3" s="495"/>
      <c r="G3" s="42"/>
      <c r="H3" s="42"/>
      <c r="I3" s="42"/>
      <c r="J3" s="42"/>
    </row>
    <row r="4" spans="1:10" x14ac:dyDescent="0.25">
      <c r="A4" s="483">
        <f t="shared" ref="A4:A8" si="0">EDATE(A3,6)</f>
        <v>45689</v>
      </c>
      <c r="B4" s="488">
        <v>0.97921896456945956</v>
      </c>
      <c r="C4" s="494">
        <f>(A4-A2)/365</f>
        <v>1.0027397260273974</v>
      </c>
      <c r="D4" s="494">
        <f>((B2/B4)-1)/C4</f>
        <v>2.1164067889885247E-2</v>
      </c>
      <c r="E4" s="495">
        <f t="shared" ref="E4:E8" si="1">D4*C4*B4</f>
        <v>2.0781035430540527E-2</v>
      </c>
      <c r="F4" s="495">
        <f t="shared" ref="F4:F8" si="2">C4*B4</f>
        <v>0.98190175625321163</v>
      </c>
      <c r="G4" s="42"/>
      <c r="H4" s="43" t="s">
        <v>565</v>
      </c>
      <c r="I4" s="496">
        <f>E9/F9</f>
        <v>6.1000434447349719E-2</v>
      </c>
      <c r="J4" s="42" t="s">
        <v>695</v>
      </c>
    </row>
    <row r="5" spans="1:10" x14ac:dyDescent="0.25">
      <c r="A5" s="483">
        <f t="shared" si="0"/>
        <v>45870</v>
      </c>
      <c r="B5" s="488">
        <v>0.96020261557029862</v>
      </c>
      <c r="C5" s="494"/>
      <c r="D5" s="494"/>
      <c r="E5" s="495"/>
      <c r="F5" s="495"/>
      <c r="G5" s="42"/>
      <c r="H5" s="42"/>
      <c r="I5" s="496">
        <f>(1-B8)/F9</f>
        <v>6.1000434447349636E-2</v>
      </c>
      <c r="J5" s="42" t="s">
        <v>696</v>
      </c>
    </row>
    <row r="6" spans="1:10" x14ac:dyDescent="0.25">
      <c r="A6" s="483">
        <f t="shared" si="0"/>
        <v>46054</v>
      </c>
      <c r="B6" s="488">
        <v>0.92681620655938224</v>
      </c>
      <c r="C6" s="494">
        <f>(A6-A4)/365</f>
        <v>1</v>
      </c>
      <c r="D6" s="494">
        <f>((B4/B6)-1)/C6</f>
        <v>5.6540614675494316E-2</v>
      </c>
      <c r="E6" s="495">
        <f t="shared" si="1"/>
        <v>5.2402758010077377E-2</v>
      </c>
      <c r="F6" s="495">
        <f t="shared" si="2"/>
        <v>0.92681620655938224</v>
      </c>
      <c r="G6" s="42"/>
      <c r="H6" s="42"/>
      <c r="I6" s="42"/>
      <c r="J6" s="42"/>
    </row>
    <row r="7" spans="1:10" x14ac:dyDescent="0.25">
      <c r="A7" s="483">
        <f t="shared" si="0"/>
        <v>46235</v>
      </c>
      <c r="B7" s="488">
        <v>0.89567216349461309</v>
      </c>
      <c r="C7" s="494"/>
      <c r="D7" s="494"/>
      <c r="E7" s="495"/>
      <c r="F7" s="495"/>
      <c r="G7" s="42"/>
      <c r="H7" s="42"/>
      <c r="I7" s="42"/>
      <c r="J7" s="42"/>
    </row>
    <row r="8" spans="1:10" x14ac:dyDescent="0.25">
      <c r="A8" s="483">
        <f t="shared" si="0"/>
        <v>46419</v>
      </c>
      <c r="B8" s="489">
        <v>0.83276815573709095</v>
      </c>
      <c r="C8" s="497">
        <f>(A8-A6)/365</f>
        <v>1</v>
      </c>
      <c r="D8" s="494">
        <f>((B6/B8)-1)/C8</f>
        <v>0.1129342544793257</v>
      </c>
      <c r="E8" s="498">
        <f t="shared" si="1"/>
        <v>9.4048050822291368E-2</v>
      </c>
      <c r="F8" s="498">
        <f t="shared" si="2"/>
        <v>0.83276815573709095</v>
      </c>
      <c r="G8" s="42"/>
      <c r="H8" s="42"/>
      <c r="I8" s="42"/>
      <c r="J8" s="42"/>
    </row>
    <row r="9" spans="1:10" x14ac:dyDescent="0.25">
      <c r="A9" s="103"/>
      <c r="B9" s="490"/>
      <c r="C9" s="137"/>
      <c r="D9" s="69" t="s">
        <v>142</v>
      </c>
      <c r="E9" s="77">
        <f>SUM(E2:E8)</f>
        <v>0.16723184426290927</v>
      </c>
      <c r="F9" s="77">
        <f>SUM(F2:F8)</f>
        <v>2.7414861185496848</v>
      </c>
      <c r="G9" s="42"/>
      <c r="H9" s="42"/>
      <c r="I9" s="42"/>
      <c r="J9" s="42"/>
    </row>
    <row r="10" spans="1:10" x14ac:dyDescent="0.25">
      <c r="G10" s="42"/>
      <c r="H10" s="42"/>
      <c r="I10" s="42"/>
      <c r="J10" s="42"/>
    </row>
    <row r="11" spans="1:10" ht="22.8" x14ac:dyDescent="0.4">
      <c r="A11" s="42"/>
      <c r="B11" s="491"/>
      <c r="C11" s="491"/>
      <c r="D11" s="491"/>
      <c r="F11" s="492"/>
    </row>
  </sheetData>
  <pageMargins left="0.75" right="0.75" top="1" bottom="1" header="0.5" footer="0.5"/>
  <pageSetup orientation="portrait"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B4D-30FD-4E66-B212-AC9BF8BF560C}">
  <dimension ref="A1:D12"/>
  <sheetViews>
    <sheetView zoomScale="118" zoomScaleNormal="118" workbookViewId="0">
      <selection activeCell="H14" sqref="H14"/>
    </sheetView>
  </sheetViews>
  <sheetFormatPr baseColWidth="10" defaultColWidth="9.21875" defaultRowHeight="13.2" x14ac:dyDescent="0.25"/>
  <cols>
    <col min="1" max="1" width="20.5546875" style="68" bestFit="1" customWidth="1"/>
    <col min="2" max="2" width="22.6640625" style="68" customWidth="1"/>
    <col min="3" max="16384" width="9.21875" style="68"/>
  </cols>
  <sheetData>
    <row r="1" spans="1:4" x14ac:dyDescent="0.25">
      <c r="A1" s="482" t="s">
        <v>6</v>
      </c>
      <c r="B1" s="482" t="s">
        <v>548</v>
      </c>
      <c r="C1" s="42"/>
      <c r="D1" s="42"/>
    </row>
    <row r="2" spans="1:4" ht="16.5" customHeight="1" x14ac:dyDescent="0.4">
      <c r="A2" s="499">
        <v>45323</v>
      </c>
      <c r="B2" s="484">
        <v>1</v>
      </c>
      <c r="C2" s="42"/>
      <c r="D2" s="487"/>
    </row>
    <row r="3" spans="1:4" x14ac:dyDescent="0.25">
      <c r="A3" s="483">
        <f t="shared" ref="A3:A8" si="0">EDATE(A2,6)</f>
        <v>45505</v>
      </c>
      <c r="B3" s="488">
        <v>0.99246687346862839</v>
      </c>
      <c r="C3" s="42"/>
      <c r="D3" s="42"/>
    </row>
    <row r="4" spans="1:4" x14ac:dyDescent="0.25">
      <c r="A4" s="483">
        <f t="shared" si="0"/>
        <v>45689</v>
      </c>
      <c r="B4" s="488">
        <v>0.97921896456945956</v>
      </c>
      <c r="C4" s="42"/>
      <c r="D4" s="42"/>
    </row>
    <row r="5" spans="1:4" x14ac:dyDescent="0.25">
      <c r="A5" s="483">
        <f t="shared" si="0"/>
        <v>45870</v>
      </c>
      <c r="B5" s="488">
        <v>0.96020261557029862</v>
      </c>
      <c r="C5" s="42"/>
      <c r="D5" s="42"/>
    </row>
    <row r="6" spans="1:4" x14ac:dyDescent="0.25">
      <c r="A6" s="483">
        <f t="shared" si="0"/>
        <v>46054</v>
      </c>
      <c r="B6" s="488">
        <v>0.92681620655938224</v>
      </c>
      <c r="C6" s="42"/>
      <c r="D6" s="42"/>
    </row>
    <row r="7" spans="1:4" x14ac:dyDescent="0.25">
      <c r="A7" s="483">
        <f t="shared" si="0"/>
        <v>46235</v>
      </c>
      <c r="B7" s="488">
        <v>0.89567216349461309</v>
      </c>
      <c r="C7" s="42"/>
      <c r="D7" s="42"/>
    </row>
    <row r="8" spans="1:4" x14ac:dyDescent="0.25">
      <c r="A8" s="483">
        <f t="shared" si="0"/>
        <v>46419</v>
      </c>
      <c r="B8" s="489">
        <v>0.83276815573709095</v>
      </c>
      <c r="C8" s="42"/>
      <c r="D8" s="42"/>
    </row>
    <row r="9" spans="1:4" x14ac:dyDescent="0.25">
      <c r="A9" s="103"/>
      <c r="B9" s="490"/>
      <c r="C9" s="42"/>
      <c r="D9" s="42"/>
    </row>
    <row r="10" spans="1:4" x14ac:dyDescent="0.25">
      <c r="C10" s="42"/>
      <c r="D10" s="42"/>
    </row>
    <row r="11" spans="1:4" x14ac:dyDescent="0.25">
      <c r="A11" s="42"/>
      <c r="B11" s="491"/>
    </row>
    <row r="12" spans="1:4" x14ac:dyDescent="0.25">
      <c r="A12" s="42"/>
      <c r="B12" s="491"/>
    </row>
  </sheetData>
  <pageMargins left="0.75" right="0.75" top="1" bottom="1" header="0.5" footer="0.5"/>
  <pageSetup orientation="portrait"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40C4-6126-4E9A-BBE7-450B77FFA4FD}">
  <dimension ref="A1:H12"/>
  <sheetViews>
    <sheetView zoomScale="118" zoomScaleNormal="118" workbookViewId="0">
      <selection activeCell="A4" sqref="A4"/>
    </sheetView>
  </sheetViews>
  <sheetFormatPr baseColWidth="10" defaultColWidth="9.21875" defaultRowHeight="13.2" x14ac:dyDescent="0.25"/>
  <cols>
    <col min="1" max="1" width="20.5546875" style="68" bestFit="1" customWidth="1"/>
    <col min="2" max="2" width="22.6640625" style="68" customWidth="1"/>
    <col min="3" max="3" width="7.5546875" style="68" bestFit="1" customWidth="1"/>
    <col min="4" max="4" width="13.109375" style="68" bestFit="1" customWidth="1"/>
    <col min="5" max="6" width="11.88671875" style="68" bestFit="1" customWidth="1"/>
    <col min="7" max="16384" width="9.21875" style="68"/>
  </cols>
  <sheetData>
    <row r="1" spans="1:8" x14ac:dyDescent="0.25">
      <c r="A1" s="482" t="s">
        <v>6</v>
      </c>
      <c r="B1" s="482" t="s">
        <v>548</v>
      </c>
      <c r="C1" s="46" t="s">
        <v>561</v>
      </c>
      <c r="D1" s="46" t="s">
        <v>562</v>
      </c>
      <c r="E1" s="69" t="s">
        <v>563</v>
      </c>
      <c r="F1" s="69" t="s">
        <v>564</v>
      </c>
      <c r="G1" s="42"/>
      <c r="H1" s="42"/>
    </row>
    <row r="2" spans="1:8" ht="16.5" customHeight="1" x14ac:dyDescent="0.4">
      <c r="A2" s="499">
        <v>45323</v>
      </c>
      <c r="B2" s="484">
        <v>1</v>
      </c>
      <c r="C2" s="493"/>
      <c r="D2" s="493"/>
      <c r="E2" s="71"/>
      <c r="F2" s="71"/>
      <c r="G2" s="42"/>
      <c r="H2" s="487"/>
    </row>
    <row r="3" spans="1:8" x14ac:dyDescent="0.25">
      <c r="A3" s="483">
        <f t="shared" ref="A3:A8" si="0">EDATE(A2,6)</f>
        <v>45505</v>
      </c>
      <c r="B3" s="488">
        <v>0.99246687346862839</v>
      </c>
      <c r="C3" s="494"/>
      <c r="D3" s="494"/>
      <c r="E3" s="495"/>
      <c r="F3" s="495"/>
      <c r="G3" s="42"/>
      <c r="H3" s="42"/>
    </row>
    <row r="4" spans="1:8" x14ac:dyDescent="0.25">
      <c r="A4" s="483">
        <f t="shared" si="0"/>
        <v>45689</v>
      </c>
      <c r="B4" s="488">
        <v>0.97921896456945956</v>
      </c>
      <c r="C4" s="494"/>
      <c r="D4" s="494"/>
      <c r="E4" s="495"/>
      <c r="F4" s="495"/>
      <c r="G4" s="42"/>
      <c r="H4" s="42"/>
    </row>
    <row r="5" spans="1:8" x14ac:dyDescent="0.25">
      <c r="A5" s="483">
        <f t="shared" si="0"/>
        <v>45870</v>
      </c>
      <c r="B5" s="488">
        <v>0.96020261557029862</v>
      </c>
      <c r="C5" s="494"/>
      <c r="D5" s="494"/>
      <c r="E5" s="495"/>
      <c r="F5" s="495"/>
      <c r="G5" s="42"/>
      <c r="H5" s="42"/>
    </row>
    <row r="6" spans="1:8" x14ac:dyDescent="0.25">
      <c r="A6" s="483">
        <f t="shared" si="0"/>
        <v>46054</v>
      </c>
      <c r="B6" s="488">
        <v>0.92681620655938224</v>
      </c>
      <c r="C6" s="494">
        <f>(A6-A4)/360</f>
        <v>1.0138888888888888</v>
      </c>
      <c r="D6" s="494">
        <f>((B4/B6)-1)/C6</f>
        <v>5.5766085707336863E-2</v>
      </c>
      <c r="E6" s="495">
        <f t="shared" ref="E6:E8" si="1">D6*C6*B6</f>
        <v>5.2402758010077377E-2</v>
      </c>
      <c r="F6" s="495">
        <f t="shared" ref="F6:F8" si="2">C6*B6</f>
        <v>0.93968865387270695</v>
      </c>
      <c r="G6" s="42"/>
      <c r="H6" s="42"/>
    </row>
    <row r="7" spans="1:8" x14ac:dyDescent="0.25">
      <c r="A7" s="483">
        <f t="shared" si="0"/>
        <v>46235</v>
      </c>
      <c r="B7" s="488">
        <v>0.89567216349461309</v>
      </c>
      <c r="C7" s="494"/>
      <c r="D7" s="494"/>
      <c r="E7" s="495"/>
      <c r="F7" s="495"/>
      <c r="G7" s="42"/>
      <c r="H7" s="42"/>
    </row>
    <row r="8" spans="1:8" x14ac:dyDescent="0.25">
      <c r="A8" s="483">
        <f t="shared" si="0"/>
        <v>46419</v>
      </c>
      <c r="B8" s="489">
        <v>0.83276815573709095</v>
      </c>
      <c r="C8" s="497">
        <f>(A8-A6)/360</f>
        <v>1.0138888888888888</v>
      </c>
      <c r="D8" s="494">
        <f>((B6/B8)-1)/C8</f>
        <v>0.11138720989741714</v>
      </c>
      <c r="E8" s="498">
        <f t="shared" si="1"/>
        <v>9.4048050822291368E-2</v>
      </c>
      <c r="F8" s="498">
        <f t="shared" si="2"/>
        <v>0.84433438012232831</v>
      </c>
      <c r="G8" s="42"/>
      <c r="H8" s="42"/>
    </row>
    <row r="9" spans="1:8" x14ac:dyDescent="0.25">
      <c r="A9" s="103"/>
      <c r="B9" s="490"/>
      <c r="C9" s="137"/>
      <c r="D9" s="69" t="s">
        <v>142</v>
      </c>
      <c r="E9" s="77">
        <f>SUM(E2:E8)</f>
        <v>0.14645080883236875</v>
      </c>
      <c r="F9" s="77">
        <f>SUM(F2:F8)</f>
        <v>1.7840230339950351</v>
      </c>
      <c r="G9" s="42"/>
      <c r="H9" s="42"/>
    </row>
    <row r="10" spans="1:8" x14ac:dyDescent="0.25">
      <c r="E10" s="42"/>
      <c r="F10" s="42"/>
      <c r="G10" s="42"/>
      <c r="H10" s="42"/>
    </row>
    <row r="11" spans="1:8" ht="22.8" x14ac:dyDescent="0.4">
      <c r="A11" s="68" t="s">
        <v>566</v>
      </c>
      <c r="B11" s="504">
        <f>E9/F9</f>
        <v>8.2090200654200918E-2</v>
      </c>
      <c r="D11" s="492"/>
    </row>
    <row r="12" spans="1:8" x14ac:dyDescent="0.25">
      <c r="A12" s="68" t="s">
        <v>567</v>
      </c>
      <c r="B12" s="504">
        <f>(B4-B8)/F9</f>
        <v>8.2090200654200848E-2</v>
      </c>
    </row>
  </sheetData>
  <pageMargins left="0.75" right="0.75" top="1" bottom="1" header="0.5" footer="0.5"/>
  <pageSetup orientation="portrait"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C123-B5DF-4D88-9032-E26B79F5AB34}">
  <dimension ref="A1:D12"/>
  <sheetViews>
    <sheetView zoomScale="78" zoomScaleNormal="78" workbookViewId="0">
      <selection activeCell="B20" sqref="B20"/>
    </sheetView>
  </sheetViews>
  <sheetFormatPr baseColWidth="10" defaultColWidth="9.21875" defaultRowHeight="13.2" x14ac:dyDescent="0.25"/>
  <cols>
    <col min="1" max="1" width="20.5546875" style="68" bestFit="1" customWidth="1"/>
    <col min="2" max="2" width="22.6640625" style="68" customWidth="1"/>
    <col min="3" max="16384" width="9.21875" style="68"/>
  </cols>
  <sheetData>
    <row r="1" spans="1:4" x14ac:dyDescent="0.25">
      <c r="A1" s="482" t="s">
        <v>6</v>
      </c>
      <c r="B1" s="482" t="s">
        <v>548</v>
      </c>
      <c r="C1" s="42"/>
      <c r="D1" s="42"/>
    </row>
    <row r="2" spans="1:4" ht="16.5" customHeight="1" x14ac:dyDescent="0.4">
      <c r="A2" s="499">
        <v>45323</v>
      </c>
      <c r="B2" s="484">
        <v>1</v>
      </c>
      <c r="C2" s="42"/>
      <c r="D2" s="487"/>
    </row>
    <row r="3" spans="1:4" x14ac:dyDescent="0.25">
      <c r="A3" s="483">
        <f t="shared" ref="A3:A8" si="0">EDATE(A2,6)</f>
        <v>45505</v>
      </c>
      <c r="B3" s="488">
        <v>0.99246687346862839</v>
      </c>
      <c r="C3" s="42"/>
      <c r="D3" s="42"/>
    </row>
    <row r="4" spans="1:4" x14ac:dyDescent="0.25">
      <c r="A4" s="483">
        <f t="shared" si="0"/>
        <v>45689</v>
      </c>
      <c r="B4" s="488">
        <v>0.97921896456945956</v>
      </c>
      <c r="C4" s="42"/>
      <c r="D4" s="42"/>
    </row>
    <row r="5" spans="1:4" x14ac:dyDescent="0.25">
      <c r="A5" s="483">
        <f t="shared" si="0"/>
        <v>45870</v>
      </c>
      <c r="B5" s="488">
        <v>0.96020261557029862</v>
      </c>
      <c r="C5" s="42"/>
      <c r="D5" s="42"/>
    </row>
    <row r="6" spans="1:4" x14ac:dyDescent="0.25">
      <c r="A6" s="483">
        <f t="shared" si="0"/>
        <v>46054</v>
      </c>
      <c r="B6" s="488">
        <v>0.92681620655938224</v>
      </c>
      <c r="C6" s="42"/>
      <c r="D6" s="42"/>
    </row>
    <row r="7" spans="1:4" x14ac:dyDescent="0.25">
      <c r="A7" s="483">
        <f t="shared" si="0"/>
        <v>46235</v>
      </c>
      <c r="B7" s="488">
        <v>0.89567216349461309</v>
      </c>
      <c r="C7" s="42"/>
      <c r="D7" s="42"/>
    </row>
    <row r="8" spans="1:4" x14ac:dyDescent="0.25">
      <c r="A8" s="483">
        <f t="shared" si="0"/>
        <v>46419</v>
      </c>
      <c r="B8" s="489">
        <v>0.83276815573709095</v>
      </c>
      <c r="C8" s="42"/>
      <c r="D8" s="42"/>
    </row>
    <row r="9" spans="1:4" x14ac:dyDescent="0.25">
      <c r="A9" s="103"/>
      <c r="B9" s="490"/>
      <c r="C9" s="42"/>
      <c r="D9" s="42"/>
    </row>
    <row r="10" spans="1:4" x14ac:dyDescent="0.25">
      <c r="C10" s="42"/>
      <c r="D10" s="42"/>
    </row>
    <row r="11" spans="1:4" x14ac:dyDescent="0.25">
      <c r="A11" s="42"/>
      <c r="B11" s="491"/>
    </row>
    <row r="12" spans="1:4" x14ac:dyDescent="0.25">
      <c r="A12" s="42"/>
      <c r="B12" s="491"/>
    </row>
  </sheetData>
  <pageMargins left="0.75" right="0.75" top="1" bottom="1" header="0.5" footer="0.5"/>
  <pageSetup orientation="portrait" r:id="rId1"/>
  <headerFooter alignWithMargins="0"/>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1FCD-B5CF-4DB9-9E57-CD6C86910F40}">
  <dimension ref="A1:H12"/>
  <sheetViews>
    <sheetView tabSelected="1" zoomScale="78" zoomScaleNormal="78" workbookViewId="0">
      <selection activeCell="D7" sqref="D7"/>
    </sheetView>
  </sheetViews>
  <sheetFormatPr baseColWidth="10" defaultColWidth="9.21875" defaultRowHeight="13.2" x14ac:dyDescent="0.25"/>
  <cols>
    <col min="1" max="1" width="20.5546875" style="68" bestFit="1" customWidth="1"/>
    <col min="2" max="2" width="22.6640625" style="68" customWidth="1"/>
    <col min="3" max="3" width="7.5546875" style="68" bestFit="1" customWidth="1"/>
    <col min="4" max="4" width="13.109375" style="68" bestFit="1" customWidth="1"/>
    <col min="5" max="6" width="11.88671875" style="68" bestFit="1" customWidth="1"/>
    <col min="7" max="16384" width="9.21875" style="68"/>
  </cols>
  <sheetData>
    <row r="1" spans="1:8" x14ac:dyDescent="0.25">
      <c r="A1" s="482" t="s">
        <v>6</v>
      </c>
      <c r="B1" s="482" t="s">
        <v>548</v>
      </c>
      <c r="C1" s="46" t="s">
        <v>561</v>
      </c>
      <c r="D1" s="46" t="s">
        <v>562</v>
      </c>
      <c r="E1" s="69" t="s">
        <v>563</v>
      </c>
      <c r="F1" s="69" t="s">
        <v>564</v>
      </c>
      <c r="G1" s="42"/>
      <c r="H1" s="42"/>
    </row>
    <row r="2" spans="1:8" ht="16.5" customHeight="1" x14ac:dyDescent="0.4">
      <c r="A2" s="499">
        <v>45323</v>
      </c>
      <c r="B2" s="484">
        <v>1</v>
      </c>
      <c r="C2" s="493"/>
      <c r="D2" s="493"/>
      <c r="E2" s="71"/>
      <c r="F2" s="71"/>
      <c r="G2" s="42"/>
      <c r="H2" s="487"/>
    </row>
    <row r="3" spans="1:8" x14ac:dyDescent="0.25">
      <c r="A3" s="483">
        <f t="shared" ref="A3:A8" si="0">EDATE(A2,6)</f>
        <v>45505</v>
      </c>
      <c r="B3" s="488">
        <v>0.99246687346862839</v>
      </c>
      <c r="C3" s="494"/>
      <c r="D3" s="494"/>
      <c r="E3" s="495"/>
      <c r="F3" s="495"/>
      <c r="G3" s="42"/>
      <c r="H3" s="42"/>
    </row>
    <row r="4" spans="1:8" x14ac:dyDescent="0.25">
      <c r="A4" s="483">
        <f t="shared" si="0"/>
        <v>45689</v>
      </c>
      <c r="B4" s="488">
        <v>0.97921896456945956</v>
      </c>
      <c r="C4" s="494"/>
      <c r="D4" s="494"/>
      <c r="E4" s="495"/>
      <c r="F4" s="495"/>
      <c r="G4" s="42"/>
      <c r="H4" s="42"/>
    </row>
    <row r="5" spans="1:8" x14ac:dyDescent="0.25">
      <c r="A5" s="483">
        <f t="shared" si="0"/>
        <v>45870</v>
      </c>
      <c r="B5" s="488">
        <v>0.96020261557029862</v>
      </c>
      <c r="C5" s="494"/>
      <c r="D5" s="494"/>
      <c r="E5" s="495"/>
      <c r="F5" s="495"/>
      <c r="G5" s="42"/>
      <c r="H5" s="42"/>
    </row>
    <row r="6" spans="1:8" x14ac:dyDescent="0.25">
      <c r="A6" s="483">
        <f t="shared" si="0"/>
        <v>46054</v>
      </c>
      <c r="B6" s="488">
        <v>0.92681620655938224</v>
      </c>
      <c r="C6" s="494"/>
      <c r="D6" s="494"/>
      <c r="E6" s="495"/>
      <c r="F6" s="495"/>
      <c r="G6" s="42"/>
      <c r="H6" s="42"/>
    </row>
    <row r="7" spans="1:8" x14ac:dyDescent="0.25">
      <c r="A7" s="483">
        <f t="shared" si="0"/>
        <v>46235</v>
      </c>
      <c r="B7" s="488">
        <v>0.89567216349461309</v>
      </c>
      <c r="C7" s="494">
        <f>(A7-A6)/360</f>
        <v>0.50277777777777777</v>
      </c>
      <c r="D7" s="494">
        <f>((B6/B7)-1)/C7</f>
        <v>6.9159180760195393E-2</v>
      </c>
      <c r="E7" s="495">
        <f t="shared" ref="E7:E8" si="1">D7*C7*B7</f>
        <v>3.1144043064769058E-2</v>
      </c>
      <c r="F7" s="495">
        <f t="shared" ref="F7:F8" si="2">C7*B7</f>
        <v>0.45032405997923602</v>
      </c>
      <c r="G7" s="42"/>
      <c r="H7" s="42"/>
    </row>
    <row r="8" spans="1:8" x14ac:dyDescent="0.25">
      <c r="A8" s="483">
        <f t="shared" si="0"/>
        <v>46419</v>
      </c>
      <c r="B8" s="489">
        <v>0.83276815573709095</v>
      </c>
      <c r="C8" s="497">
        <f>(A8-A7)/360</f>
        <v>0.51111111111111107</v>
      </c>
      <c r="D8" s="494">
        <f>((B7/B8)-1)/C8</f>
        <v>0.1477879020807279</v>
      </c>
      <c r="E8" s="498">
        <f t="shared" si="1"/>
        <v>6.2904007757522126E-2</v>
      </c>
      <c r="F8" s="498">
        <f t="shared" si="2"/>
        <v>0.42563705737673535</v>
      </c>
      <c r="G8" s="42"/>
      <c r="H8" s="42"/>
    </row>
    <row r="9" spans="1:8" x14ac:dyDescent="0.25">
      <c r="A9" s="103"/>
      <c r="B9" s="490"/>
      <c r="C9" s="137"/>
      <c r="D9" s="69" t="s">
        <v>142</v>
      </c>
      <c r="E9" s="77">
        <f>SUM(E2:E8)</f>
        <v>9.4048050822291188E-2</v>
      </c>
      <c r="F9" s="77">
        <f>SUM(F2:F8)</f>
        <v>0.87596111735597137</v>
      </c>
      <c r="G9" s="42"/>
      <c r="H9" s="42"/>
    </row>
    <row r="10" spans="1:8" x14ac:dyDescent="0.25">
      <c r="E10" s="42"/>
      <c r="F10" s="42"/>
      <c r="G10" s="42"/>
      <c r="H10" s="42"/>
    </row>
    <row r="11" spans="1:8" ht="22.8" x14ac:dyDescent="0.4">
      <c r="A11" s="68" t="s">
        <v>566</v>
      </c>
      <c r="B11" s="504">
        <f>E9/F9</f>
        <v>0.10736555419967587</v>
      </c>
      <c r="D11" s="492"/>
    </row>
    <row r="12" spans="1:8" x14ac:dyDescent="0.25">
      <c r="A12" s="68" t="s">
        <v>567</v>
      </c>
      <c r="B12" s="504">
        <f>(B6-B8)/F9</f>
        <v>0.10736555419967599</v>
      </c>
    </row>
  </sheetData>
  <pageMargins left="0.75" right="0.75" top="1" bottom="1" header="0.5" footer="0.5"/>
  <pageSetup orientation="portrait" r:id="rId1"/>
  <headerFooter alignWithMargins="0"/>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26BBC-3C5E-40A0-9E50-7B8CCCCBB129}">
  <dimension ref="A1:K6"/>
  <sheetViews>
    <sheetView workbookViewId="0">
      <selection activeCell="B15" sqref="B15"/>
    </sheetView>
  </sheetViews>
  <sheetFormatPr baseColWidth="10" defaultColWidth="8.77734375" defaultRowHeight="13.2" x14ac:dyDescent="0.25"/>
  <cols>
    <col min="1" max="16384" width="8.77734375" style="42"/>
  </cols>
  <sheetData>
    <row r="1" spans="1:11" x14ac:dyDescent="0.25">
      <c r="A1" s="702" t="s">
        <v>568</v>
      </c>
      <c r="B1" s="702"/>
      <c r="D1" s="702" t="s">
        <v>569</v>
      </c>
      <c r="E1" s="702"/>
      <c r="G1" s="702" t="s">
        <v>570</v>
      </c>
      <c r="H1" s="702"/>
      <c r="J1" s="702" t="s">
        <v>571</v>
      </c>
      <c r="K1" s="702"/>
    </row>
    <row r="2" spans="1:11" x14ac:dyDescent="0.25">
      <c r="A2" s="46" t="s">
        <v>240</v>
      </c>
      <c r="B2" s="46" t="s">
        <v>403</v>
      </c>
      <c r="D2" s="46" t="s">
        <v>240</v>
      </c>
      <c r="E2" s="46" t="s">
        <v>403</v>
      </c>
      <c r="G2" s="46" t="s">
        <v>240</v>
      </c>
      <c r="H2" s="46" t="s">
        <v>403</v>
      </c>
      <c r="J2" s="46" t="s">
        <v>240</v>
      </c>
      <c r="K2" s="46" t="s">
        <v>403</v>
      </c>
    </row>
    <row r="3" spans="1:11" x14ac:dyDescent="0.25">
      <c r="A3" s="52">
        <v>0</v>
      </c>
      <c r="B3" s="52">
        <v>100</v>
      </c>
      <c r="D3" s="52">
        <v>0</v>
      </c>
      <c r="E3" s="52">
        <v>100</v>
      </c>
      <c r="G3" s="52">
        <v>0</v>
      </c>
      <c r="H3" s="52">
        <v>100</v>
      </c>
      <c r="J3" s="52">
        <v>0</v>
      </c>
      <c r="K3" s="52">
        <v>100</v>
      </c>
    </row>
    <row r="4" spans="1:11" x14ac:dyDescent="0.25">
      <c r="A4" s="55">
        <v>6</v>
      </c>
      <c r="B4" s="55">
        <v>100</v>
      </c>
      <c r="D4" s="55">
        <v>6</v>
      </c>
      <c r="E4" s="55">
        <v>120</v>
      </c>
      <c r="G4" s="55">
        <v>6</v>
      </c>
      <c r="H4" s="55">
        <v>80</v>
      </c>
      <c r="J4" s="55">
        <v>6</v>
      </c>
      <c r="K4" s="55">
        <v>120</v>
      </c>
    </row>
    <row r="5" spans="1:11" x14ac:dyDescent="0.25">
      <c r="A5" s="55">
        <v>12</v>
      </c>
      <c r="B5" s="55">
        <v>100</v>
      </c>
      <c r="D5" s="55">
        <v>12</v>
      </c>
      <c r="E5" s="55">
        <v>150</v>
      </c>
      <c r="G5" s="55">
        <v>12</v>
      </c>
      <c r="H5" s="55">
        <v>50</v>
      </c>
      <c r="J5" s="55">
        <v>12</v>
      </c>
      <c r="K5" s="55">
        <v>70</v>
      </c>
    </row>
    <row r="6" spans="1:11" x14ac:dyDescent="0.25">
      <c r="A6" s="65">
        <v>18</v>
      </c>
      <c r="B6" s="65"/>
      <c r="D6" s="65">
        <v>18</v>
      </c>
      <c r="E6" s="65"/>
      <c r="G6" s="65">
        <v>18</v>
      </c>
      <c r="H6" s="65"/>
      <c r="J6" s="65">
        <v>18</v>
      </c>
      <c r="K6" s="65"/>
    </row>
  </sheetData>
  <mergeCells count="4">
    <mergeCell ref="A1:B1"/>
    <mergeCell ref="D1:E1"/>
    <mergeCell ref="G1:H1"/>
    <mergeCell ref="J1:K1"/>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7D54-532A-4937-A491-2F8452B673BB}">
  <dimension ref="A1:K7"/>
  <sheetViews>
    <sheetView workbookViewId="0">
      <selection activeCell="M14" sqref="M14"/>
    </sheetView>
  </sheetViews>
  <sheetFormatPr baseColWidth="10" defaultColWidth="8.77734375" defaultRowHeight="13.2" x14ac:dyDescent="0.25"/>
  <cols>
    <col min="1" max="1" width="8.77734375" style="42"/>
    <col min="2" max="2" width="10.77734375" style="42" bestFit="1" customWidth="1"/>
    <col min="3" max="4" width="10.77734375" style="42" customWidth="1"/>
    <col min="5" max="5" width="8.77734375" style="42"/>
    <col min="6" max="6" width="10.77734375" style="42" bestFit="1" customWidth="1"/>
    <col min="7" max="7" width="11.21875" style="42" bestFit="1" customWidth="1"/>
    <col min="8" max="9" width="8.77734375" style="42"/>
    <col min="10" max="10" width="10.77734375" style="42" bestFit="1" customWidth="1"/>
    <col min="11" max="11" width="11.21875" style="42" bestFit="1" customWidth="1"/>
    <col min="12" max="16384" width="8.77734375" style="42"/>
  </cols>
  <sheetData>
    <row r="1" spans="1:11" x14ac:dyDescent="0.25">
      <c r="A1" s="729" t="s">
        <v>572</v>
      </c>
      <c r="B1" s="721"/>
      <c r="C1" s="722"/>
      <c r="D1" s="50"/>
      <c r="E1" s="729" t="s">
        <v>573</v>
      </c>
      <c r="F1" s="721"/>
      <c r="G1" s="722"/>
      <c r="I1" s="729" t="s">
        <v>574</v>
      </c>
      <c r="J1" s="721"/>
      <c r="K1" s="722"/>
    </row>
    <row r="2" spans="1:11" x14ac:dyDescent="0.25">
      <c r="A2" s="46" t="s">
        <v>240</v>
      </c>
      <c r="B2" s="46" t="s">
        <v>575</v>
      </c>
      <c r="C2" s="46" t="s">
        <v>576</v>
      </c>
      <c r="D2" s="50"/>
      <c r="E2" s="52" t="s">
        <v>240</v>
      </c>
      <c r="F2" s="52" t="s">
        <v>575</v>
      </c>
      <c r="G2" s="46" t="s">
        <v>576</v>
      </c>
      <c r="I2" s="46" t="s">
        <v>240</v>
      </c>
      <c r="J2" s="46" t="s">
        <v>575</v>
      </c>
      <c r="K2" s="46" t="s">
        <v>576</v>
      </c>
    </row>
    <row r="3" spans="1:11" x14ac:dyDescent="0.25">
      <c r="A3" s="52">
        <v>0</v>
      </c>
      <c r="B3" s="121" t="s">
        <v>577</v>
      </c>
      <c r="C3" s="52"/>
      <c r="D3" s="50"/>
      <c r="E3" s="52">
        <v>0</v>
      </c>
      <c r="F3" s="505" t="s">
        <v>577</v>
      </c>
      <c r="G3" s="45"/>
      <c r="I3" s="52">
        <v>0</v>
      </c>
      <c r="J3" s="121" t="s">
        <v>577</v>
      </c>
      <c r="K3" s="121" t="s">
        <v>578</v>
      </c>
    </row>
    <row r="4" spans="1:11" x14ac:dyDescent="0.25">
      <c r="A4" s="55">
        <v>6</v>
      </c>
      <c r="B4" s="506" t="s">
        <v>577</v>
      </c>
      <c r="C4" s="411" t="s">
        <v>578</v>
      </c>
      <c r="D4" s="50"/>
      <c r="E4" s="55">
        <v>6</v>
      </c>
      <c r="F4" s="507" t="s">
        <v>577</v>
      </c>
      <c r="G4" s="255"/>
      <c r="I4" s="55">
        <v>6</v>
      </c>
      <c r="J4" s="506" t="s">
        <v>577</v>
      </c>
      <c r="K4" s="506" t="s">
        <v>578</v>
      </c>
    </row>
    <row r="5" spans="1:11" x14ac:dyDescent="0.25">
      <c r="A5" s="55">
        <v>12</v>
      </c>
      <c r="B5" s="399" t="s">
        <v>577</v>
      </c>
      <c r="C5" s="506" t="s">
        <v>578</v>
      </c>
      <c r="D5" s="50"/>
      <c r="E5" s="55">
        <v>12</v>
      </c>
      <c r="F5" s="400" t="s">
        <v>577</v>
      </c>
      <c r="G5" s="508" t="s">
        <v>578</v>
      </c>
      <c r="I5" s="55">
        <v>12</v>
      </c>
      <c r="J5" s="399" t="s">
        <v>577</v>
      </c>
      <c r="K5" s="401" t="s">
        <v>578</v>
      </c>
    </row>
    <row r="6" spans="1:11" x14ac:dyDescent="0.25">
      <c r="A6" s="65">
        <v>18</v>
      </c>
      <c r="B6" s="65"/>
      <c r="C6" s="401" t="s">
        <v>578</v>
      </c>
      <c r="D6" s="50"/>
      <c r="E6" s="55">
        <v>18</v>
      </c>
      <c r="F6" s="56"/>
      <c r="G6" s="507" t="s">
        <v>578</v>
      </c>
      <c r="I6" s="65">
        <v>18</v>
      </c>
      <c r="J6" s="65"/>
      <c r="K6" s="503"/>
    </row>
    <row r="7" spans="1:11" x14ac:dyDescent="0.25">
      <c r="E7" s="65">
        <v>24</v>
      </c>
      <c r="F7" s="240"/>
      <c r="G7" s="402" t="s">
        <v>578</v>
      </c>
    </row>
  </sheetData>
  <mergeCells count="3">
    <mergeCell ref="A1:C1"/>
    <mergeCell ref="E1:G1"/>
    <mergeCell ref="I1:K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4CCE-24FA-4FD5-83BF-03D0F58F3190}">
  <dimension ref="A1:D12"/>
  <sheetViews>
    <sheetView workbookViewId="0">
      <selection activeCell="G27" sqref="G27"/>
    </sheetView>
  </sheetViews>
  <sheetFormatPr baseColWidth="10" defaultColWidth="8.77734375" defaultRowHeight="13.2" x14ac:dyDescent="0.25"/>
  <cols>
    <col min="1" max="1" width="8.77734375" style="42"/>
    <col min="2" max="2" width="23.21875" style="42" bestFit="1" customWidth="1"/>
    <col min="3" max="16384" width="8.77734375" style="42"/>
  </cols>
  <sheetData>
    <row r="1" spans="1:4" ht="13.8" thickBot="1" x14ac:dyDescent="0.3">
      <c r="A1" s="42" t="s">
        <v>196</v>
      </c>
    </row>
    <row r="2" spans="1:4" ht="13.8" thickBot="1" x14ac:dyDescent="0.3">
      <c r="B2" s="161" t="s">
        <v>197</v>
      </c>
      <c r="C2" s="161" t="s">
        <v>198</v>
      </c>
      <c r="D2" s="161" t="s">
        <v>116</v>
      </c>
    </row>
    <row r="3" spans="1:4" ht="13.8" x14ac:dyDescent="0.3">
      <c r="B3" s="162" t="s">
        <v>199</v>
      </c>
      <c r="C3" s="162" t="s">
        <v>200</v>
      </c>
      <c r="D3" s="162" t="s">
        <v>201</v>
      </c>
    </row>
    <row r="4" spans="1:4" x14ac:dyDescent="0.25">
      <c r="B4" s="163" t="s">
        <v>202</v>
      </c>
      <c r="C4" s="163" t="s">
        <v>201</v>
      </c>
      <c r="D4" s="163" t="s">
        <v>200</v>
      </c>
    </row>
    <row r="5" spans="1:4" x14ac:dyDescent="0.25">
      <c r="B5" s="164" t="s">
        <v>203</v>
      </c>
      <c r="C5" s="164" t="s">
        <v>200</v>
      </c>
      <c r="D5" s="164" t="s">
        <v>200</v>
      </c>
    </row>
    <row r="6" spans="1:4" ht="13.8" thickBot="1" x14ac:dyDescent="0.3">
      <c r="B6" s="165" t="s">
        <v>204</v>
      </c>
      <c r="C6" s="165" t="s">
        <v>200</v>
      </c>
      <c r="D6" s="165" t="s">
        <v>200</v>
      </c>
    </row>
    <row r="9" spans="1:4" x14ac:dyDescent="0.25">
      <c r="B9" s="42" t="s">
        <v>205</v>
      </c>
    </row>
    <row r="10" spans="1:4" x14ac:dyDescent="0.25">
      <c r="B10" s="42" t="s">
        <v>579</v>
      </c>
    </row>
    <row r="11" spans="1:4" x14ac:dyDescent="0.25">
      <c r="B11" s="42" t="s">
        <v>580</v>
      </c>
    </row>
    <row r="12" spans="1:4" x14ac:dyDescent="0.25">
      <c r="B12" s="42" t="s">
        <v>581</v>
      </c>
    </row>
  </sheetData>
  <pageMargins left="0.7" right="0.7" top="0.75" bottom="0.75" header="0.3" footer="0.3"/>
  <pageSetup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CDA6-70F7-44A4-AC5F-3439603F62AA}">
  <dimension ref="A1:D8"/>
  <sheetViews>
    <sheetView workbookViewId="0">
      <selection activeCell="G18" sqref="G18"/>
    </sheetView>
  </sheetViews>
  <sheetFormatPr baseColWidth="10" defaultColWidth="8.77734375" defaultRowHeight="13.2" x14ac:dyDescent="0.25"/>
  <cols>
    <col min="1" max="1" width="8.77734375" style="42"/>
    <col min="2" max="2" width="23.21875" style="42" bestFit="1" customWidth="1"/>
    <col min="3" max="16384" width="8.77734375" style="42"/>
  </cols>
  <sheetData>
    <row r="1" spans="1:4" ht="13.8" thickBot="1" x14ac:dyDescent="0.3">
      <c r="A1" s="42" t="s">
        <v>196</v>
      </c>
    </row>
    <row r="2" spans="1:4" ht="13.8" thickBot="1" x14ac:dyDescent="0.3">
      <c r="B2" s="161" t="s">
        <v>197</v>
      </c>
      <c r="C2" s="161" t="s">
        <v>198</v>
      </c>
      <c r="D2" s="161" t="s">
        <v>116</v>
      </c>
    </row>
    <row r="3" spans="1:4" ht="13.8" x14ac:dyDescent="0.3">
      <c r="B3" s="166" t="s">
        <v>199</v>
      </c>
      <c r="C3" s="166" t="s">
        <v>200</v>
      </c>
      <c r="D3" s="166" t="s">
        <v>201</v>
      </c>
    </row>
    <row r="4" spans="1:4" x14ac:dyDescent="0.25">
      <c r="B4" s="164" t="s">
        <v>202</v>
      </c>
      <c r="C4" s="164" t="s">
        <v>201</v>
      </c>
      <c r="D4" s="164" t="s">
        <v>200</v>
      </c>
    </row>
    <row r="5" spans="1:4" x14ac:dyDescent="0.25">
      <c r="B5" s="164" t="s">
        <v>203</v>
      </c>
      <c r="C5" s="164" t="s">
        <v>200</v>
      </c>
      <c r="D5" s="164" t="s">
        <v>200</v>
      </c>
    </row>
    <row r="6" spans="1:4" ht="13.8" thickBot="1" x14ac:dyDescent="0.3">
      <c r="B6" s="165" t="s">
        <v>204</v>
      </c>
      <c r="C6" s="164" t="s">
        <v>200</v>
      </c>
      <c r="D6" s="164" t="s">
        <v>200</v>
      </c>
    </row>
    <row r="7" spans="1:4" x14ac:dyDescent="0.25">
      <c r="B7" s="167" t="s">
        <v>206</v>
      </c>
      <c r="C7" s="166"/>
      <c r="D7" s="168"/>
    </row>
    <row r="8" spans="1:4" ht="13.8" thickBot="1" x14ac:dyDescent="0.3">
      <c r="B8" s="169" t="s">
        <v>207</v>
      </c>
      <c r="C8" s="165"/>
      <c r="D8" s="170"/>
    </row>
  </sheetData>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7F1D-CB3C-4DEE-BC46-CBC9885A0A34}">
  <dimension ref="A1:D8"/>
  <sheetViews>
    <sheetView workbookViewId="0">
      <selection activeCell="G16" sqref="G16"/>
    </sheetView>
  </sheetViews>
  <sheetFormatPr baseColWidth="10" defaultColWidth="8.77734375" defaultRowHeight="13.2" x14ac:dyDescent="0.25"/>
  <cols>
    <col min="1" max="1" width="8.77734375" style="42"/>
    <col min="2" max="2" width="23.21875" style="42" bestFit="1" customWidth="1"/>
    <col min="3" max="16384" width="8.77734375" style="42"/>
  </cols>
  <sheetData>
    <row r="1" spans="1:4" ht="13.8" thickBot="1" x14ac:dyDescent="0.3">
      <c r="A1" s="42" t="s">
        <v>196</v>
      </c>
    </row>
    <row r="2" spans="1:4" ht="13.8" thickBot="1" x14ac:dyDescent="0.3">
      <c r="B2" s="161" t="s">
        <v>197</v>
      </c>
      <c r="C2" s="161" t="s">
        <v>198</v>
      </c>
      <c r="D2" s="161" t="s">
        <v>116</v>
      </c>
    </row>
    <row r="3" spans="1:4" ht="13.8" x14ac:dyDescent="0.3">
      <c r="B3" s="166" t="s">
        <v>199</v>
      </c>
      <c r="C3" s="166" t="s">
        <v>200</v>
      </c>
      <c r="D3" s="166" t="s">
        <v>201</v>
      </c>
    </row>
    <row r="4" spans="1:4" x14ac:dyDescent="0.25">
      <c r="B4" s="164" t="s">
        <v>202</v>
      </c>
      <c r="C4" s="164" t="s">
        <v>201</v>
      </c>
      <c r="D4" s="164" t="s">
        <v>200</v>
      </c>
    </row>
    <row r="5" spans="1:4" x14ac:dyDescent="0.25">
      <c r="B5" s="164" t="s">
        <v>203</v>
      </c>
      <c r="C5" s="164" t="s">
        <v>200</v>
      </c>
      <c r="D5" s="164" t="s">
        <v>200</v>
      </c>
    </row>
    <row r="6" spans="1:4" ht="13.8" thickBot="1" x14ac:dyDescent="0.3">
      <c r="B6" s="165" t="s">
        <v>204</v>
      </c>
      <c r="C6" s="164" t="s">
        <v>200</v>
      </c>
      <c r="D6" s="164" t="s">
        <v>200</v>
      </c>
    </row>
    <row r="7" spans="1:4" x14ac:dyDescent="0.25">
      <c r="B7" s="167" t="s">
        <v>206</v>
      </c>
      <c r="C7" s="166" t="s">
        <v>200</v>
      </c>
      <c r="D7" s="168" t="s">
        <v>200</v>
      </c>
    </row>
    <row r="8" spans="1:4" ht="13.8" thickBot="1" x14ac:dyDescent="0.3">
      <c r="B8" s="169" t="s">
        <v>207</v>
      </c>
      <c r="C8" s="165" t="s">
        <v>200</v>
      </c>
      <c r="D8" s="170" t="s">
        <v>201</v>
      </c>
    </row>
  </sheetData>
  <pageMargins left="0.7" right="0.7" top="0.75" bottom="0.75" header="0.3" footer="0.3"/>
  <pageSetup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7B9E-F965-4C1D-B438-1FEEB1E2A640}">
  <dimension ref="B1:Q10"/>
  <sheetViews>
    <sheetView workbookViewId="0">
      <selection activeCell="F5" sqref="F5"/>
    </sheetView>
  </sheetViews>
  <sheetFormatPr baseColWidth="10" defaultColWidth="8.77734375" defaultRowHeight="13.2" x14ac:dyDescent="0.25"/>
  <cols>
    <col min="1" max="1" width="8.77734375" style="42"/>
    <col min="2" max="2" width="23.21875" style="42" bestFit="1" customWidth="1"/>
    <col min="3" max="3" width="25.21875" style="42" bestFit="1" customWidth="1"/>
    <col min="4" max="11" width="8.77734375" style="42"/>
    <col min="12" max="12" width="13" style="42" customWidth="1"/>
    <col min="13" max="13" width="11.21875" style="42" bestFit="1" customWidth="1"/>
    <col min="14" max="16384" width="8.77734375" style="42"/>
  </cols>
  <sheetData>
    <row r="1" spans="2:17" ht="13.8" thickBot="1" x14ac:dyDescent="0.3"/>
    <row r="2" spans="2:17" ht="13.8" thickBot="1" x14ac:dyDescent="0.3">
      <c r="B2" s="161" t="s">
        <v>197</v>
      </c>
      <c r="C2" s="161" t="s">
        <v>208</v>
      </c>
    </row>
    <row r="3" spans="2:17" ht="13.8" x14ac:dyDescent="0.3">
      <c r="B3" s="166" t="s">
        <v>199</v>
      </c>
      <c r="C3" s="168" t="s">
        <v>209</v>
      </c>
    </row>
    <row r="4" spans="2:17" x14ac:dyDescent="0.25">
      <c r="B4" s="164"/>
      <c r="C4" s="171" t="s">
        <v>210</v>
      </c>
      <c r="M4" s="90"/>
      <c r="Q4" s="42">
        <f>(125-G3)*100</f>
        <v>12500</v>
      </c>
    </row>
    <row r="5" spans="2:17" ht="13.8" thickBot="1" x14ac:dyDescent="0.3">
      <c r="B5" s="165"/>
      <c r="C5" s="170" t="s">
        <v>211</v>
      </c>
      <c r="M5" s="90"/>
      <c r="Q5" s="42">
        <f>((125-125)-6.6)*100</f>
        <v>-660</v>
      </c>
    </row>
    <row r="6" spans="2:17" x14ac:dyDescent="0.25">
      <c r="B6" s="166" t="s">
        <v>203</v>
      </c>
      <c r="C6" s="168" t="s">
        <v>210</v>
      </c>
    </row>
    <row r="7" spans="2:17" ht="13.8" thickBot="1" x14ac:dyDescent="0.3">
      <c r="B7" s="164"/>
      <c r="C7" s="170" t="s">
        <v>212</v>
      </c>
    </row>
    <row r="8" spans="2:17" x14ac:dyDescent="0.25">
      <c r="B8" s="166" t="s">
        <v>207</v>
      </c>
      <c r="C8" s="166" t="s">
        <v>213</v>
      </c>
    </row>
    <row r="9" spans="2:17" x14ac:dyDescent="0.25">
      <c r="B9" s="172"/>
      <c r="C9" s="164" t="s">
        <v>214</v>
      </c>
    </row>
    <row r="10" spans="2:17" ht="13.8" thickBot="1" x14ac:dyDescent="0.3">
      <c r="B10" s="173"/>
      <c r="C10" s="165" t="s">
        <v>215</v>
      </c>
    </row>
  </sheetData>
  <pageMargins left="0.7" right="0.7" top="0.75" bottom="0.75" header="0.3" footer="0.3"/>
  <pageSetup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2018-0DAE-4606-A272-663ED5F226C7}">
  <dimension ref="A1:N132"/>
  <sheetViews>
    <sheetView topLeftCell="G1" zoomScale="110" zoomScaleNormal="110" workbookViewId="0">
      <selection activeCell="K6" sqref="K6:N6"/>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P</v>
      </c>
      <c r="C1" s="724" t="str">
        <f>L3</f>
        <v>P</v>
      </c>
      <c r="D1" s="724" t="str">
        <f t="shared" ref="D1:E1" si="0">M3</f>
        <v>C</v>
      </c>
      <c r="E1" s="724" t="str">
        <f t="shared" si="0"/>
        <v>C</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98</v>
      </c>
      <c r="L3" s="46" t="s">
        <v>98</v>
      </c>
      <c r="M3" s="46" t="s">
        <v>99</v>
      </c>
      <c r="N3" s="46" t="s">
        <v>99</v>
      </c>
    </row>
    <row r="4" spans="1:14" x14ac:dyDescent="0.25">
      <c r="A4" s="51">
        <v>0</v>
      </c>
      <c r="B4" s="52">
        <f>(MAX(IF($B$1="C",1,-1)*(A4-$K$5),0)-IF($K$10="Y",$K$13*EXP($K$6*$K$9),0))*$K$4</f>
        <v>0</v>
      </c>
      <c r="C4" s="45">
        <f>(MAX(IF($C$1="C",1,-1)*(A4-$L$5),0)-IF($K$10="Y",$L$13*EXP($K$6*$K$9),0))*$L$4</f>
        <v>0</v>
      </c>
      <c r="D4" s="45">
        <f>(MAX(IF($D$1="C",1,-1)*(A4-$M$5),0)-IF($K$10="Y",$M$13*EXP($K$6*$K$9),0))*$M$4</f>
        <v>0</v>
      </c>
      <c r="E4" s="45">
        <f>(MAX(IF($E$1="C",1,-1)*(A4-$N$5),0)-IF($K$10="Y",$N$13*EXP($K$6*$K$9),0))*$N$4</f>
        <v>0</v>
      </c>
      <c r="F4" s="174">
        <f>SUM(B4:E4)</f>
        <v>0</v>
      </c>
      <c r="I4" s="715"/>
      <c r="J4" s="50" t="s">
        <v>100</v>
      </c>
      <c r="K4" s="46">
        <v>0</v>
      </c>
      <c r="L4" s="46">
        <v>0</v>
      </c>
      <c r="M4" s="46">
        <v>1</v>
      </c>
      <c r="N4" s="46">
        <v>-1</v>
      </c>
    </row>
    <row r="5" spans="1:14" x14ac:dyDescent="0.25">
      <c r="A5" s="54">
        <f>A4+2</f>
        <v>2</v>
      </c>
      <c r="B5" s="55">
        <f t="shared" ref="B5:B68" si="1">(MAX(IF($B$1="C",1,-1)*(A5-$K$5),0)-IF($K$10="Y",$K$13*EXP($K$6*$K$9),0))*$K$4</f>
        <v>0</v>
      </c>
      <c r="C5" s="56">
        <f t="shared" ref="C5:C68" si="2">(MAX(IF($C$1="C",1,-1)*(A5-$L$5),0)-IF($K$10="Y",$L$13*EXP($K$6*$K$9),0))*$L$4</f>
        <v>0</v>
      </c>
      <c r="D5" s="56">
        <f t="shared" ref="D5:D68" si="3">(MAX(IF($D$1="C",1,-1)*(A5-$M$5),0)-IF($K$10="Y",$M$13*EXP($K$6*$K$9),0))*$M$4</f>
        <v>0</v>
      </c>
      <c r="E5" s="56">
        <f t="shared" ref="E5:E68" si="4">(MAX(IF($E$1="C",1,-1)*(A5-$N$5),0)-IF($K$10="Y",$N$13*EXP($K$6*$K$9),0))*$N$4</f>
        <v>0</v>
      </c>
      <c r="F5" s="175">
        <f t="shared" ref="F5:F68" si="5">SUM(B5:E5)</f>
        <v>0</v>
      </c>
      <c r="I5" s="715"/>
      <c r="J5" s="56" t="s">
        <v>101</v>
      </c>
      <c r="K5" s="46">
        <v>120</v>
      </c>
      <c r="L5" s="46">
        <v>80</v>
      </c>
      <c r="M5" s="46">
        <v>80</v>
      </c>
      <c r="N5" s="46">
        <v>81</v>
      </c>
    </row>
    <row r="6" spans="1:14" x14ac:dyDescent="0.25">
      <c r="A6" s="54">
        <f t="shared" ref="A6:A69" si="6">A5+2</f>
        <v>4</v>
      </c>
      <c r="B6" s="55">
        <f t="shared" si="1"/>
        <v>0</v>
      </c>
      <c r="C6" s="56">
        <f t="shared" si="2"/>
        <v>0</v>
      </c>
      <c r="D6" s="56">
        <f t="shared" si="3"/>
        <v>0</v>
      </c>
      <c r="E6" s="56">
        <f t="shared" si="4"/>
        <v>0</v>
      </c>
      <c r="F6" s="175">
        <f t="shared" si="5"/>
        <v>0</v>
      </c>
      <c r="I6" s="715"/>
      <c r="J6" s="56" t="s">
        <v>102</v>
      </c>
      <c r="K6" s="758">
        <v>0.02</v>
      </c>
      <c r="L6" s="719"/>
      <c r="M6" s="719"/>
      <c r="N6" s="720"/>
    </row>
    <row r="7" spans="1:14" x14ac:dyDescent="0.25">
      <c r="A7" s="54">
        <f t="shared" si="6"/>
        <v>6</v>
      </c>
      <c r="B7" s="55">
        <f t="shared" si="1"/>
        <v>0</v>
      </c>
      <c r="C7" s="56">
        <f t="shared" si="2"/>
        <v>0</v>
      </c>
      <c r="D7" s="56">
        <f t="shared" si="3"/>
        <v>0</v>
      </c>
      <c r="E7" s="56">
        <f t="shared" si="4"/>
        <v>0</v>
      </c>
      <c r="F7" s="175">
        <f t="shared" si="5"/>
        <v>0</v>
      </c>
      <c r="I7" s="715"/>
      <c r="J7" s="56" t="s">
        <v>103</v>
      </c>
      <c r="K7" s="758">
        <v>0</v>
      </c>
      <c r="L7" s="719"/>
      <c r="M7" s="719"/>
      <c r="N7" s="720"/>
    </row>
    <row r="8" spans="1:14" x14ac:dyDescent="0.25">
      <c r="A8" s="54">
        <f t="shared" si="6"/>
        <v>8</v>
      </c>
      <c r="B8" s="55">
        <f t="shared" si="1"/>
        <v>0</v>
      </c>
      <c r="C8" s="56">
        <f t="shared" si="2"/>
        <v>0</v>
      </c>
      <c r="D8" s="56">
        <f t="shared" si="3"/>
        <v>0</v>
      </c>
      <c r="E8" s="56">
        <f t="shared" si="4"/>
        <v>0</v>
      </c>
      <c r="F8" s="175">
        <f t="shared" si="5"/>
        <v>0</v>
      </c>
      <c r="I8" s="715"/>
      <c r="J8" s="56" t="s">
        <v>104</v>
      </c>
      <c r="K8" s="758">
        <v>0.3</v>
      </c>
      <c r="L8" s="719"/>
      <c r="M8" s="719"/>
      <c r="N8" s="720"/>
    </row>
    <row r="9" spans="1:14" x14ac:dyDescent="0.25">
      <c r="A9" s="54">
        <f t="shared" si="6"/>
        <v>10</v>
      </c>
      <c r="B9" s="55">
        <f t="shared" si="1"/>
        <v>0</v>
      </c>
      <c r="C9" s="56">
        <f t="shared" si="2"/>
        <v>0</v>
      </c>
      <c r="D9" s="56">
        <f t="shared" si="3"/>
        <v>0</v>
      </c>
      <c r="E9" s="56">
        <f t="shared" si="4"/>
        <v>0</v>
      </c>
      <c r="F9" s="175">
        <f t="shared" si="5"/>
        <v>0</v>
      </c>
      <c r="I9" s="715"/>
      <c r="J9" s="58" t="s">
        <v>105</v>
      </c>
      <c r="K9" s="729">
        <f>2/12</f>
        <v>0.16666666666666666</v>
      </c>
      <c r="L9" s="721"/>
      <c r="M9" s="721"/>
      <c r="N9" s="722"/>
    </row>
    <row r="10" spans="1:14" x14ac:dyDescent="0.25">
      <c r="A10" s="54">
        <f t="shared" si="6"/>
        <v>12</v>
      </c>
      <c r="B10" s="55">
        <f t="shared" si="1"/>
        <v>0</v>
      </c>
      <c r="C10" s="56">
        <f t="shared" si="2"/>
        <v>0</v>
      </c>
      <c r="D10" s="56">
        <f t="shared" si="3"/>
        <v>0</v>
      </c>
      <c r="E10" s="56">
        <f t="shared" si="4"/>
        <v>0</v>
      </c>
      <c r="F10" s="175">
        <f t="shared" si="5"/>
        <v>0</v>
      </c>
      <c r="I10" s="716"/>
      <c r="J10" s="59" t="s">
        <v>106</v>
      </c>
      <c r="K10" s="729" t="s">
        <v>239</v>
      </c>
      <c r="L10" s="721"/>
      <c r="M10" s="721"/>
      <c r="N10" s="722"/>
    </row>
    <row r="11" spans="1:14" x14ac:dyDescent="0.25">
      <c r="A11" s="54">
        <f t="shared" si="6"/>
        <v>14</v>
      </c>
      <c r="B11" s="55">
        <f t="shared" si="1"/>
        <v>0</v>
      </c>
      <c r="C11" s="56">
        <f t="shared" si="2"/>
        <v>0</v>
      </c>
      <c r="D11" s="56">
        <f t="shared" si="3"/>
        <v>0</v>
      </c>
      <c r="E11" s="56">
        <f t="shared" si="4"/>
        <v>0</v>
      </c>
      <c r="F11" s="175">
        <f t="shared" si="5"/>
        <v>0</v>
      </c>
      <c r="I11" s="41" t="s">
        <v>107</v>
      </c>
      <c r="J11" s="52" t="s">
        <v>108</v>
      </c>
      <c r="K11" s="47">
        <f>(LN($K$2/K5)+(($K$6-$K$7+(0.5*$K$8*$K$8))*$K$9))/($K$8*SQRT($K$9))</f>
        <v>-1.4001954812496711</v>
      </c>
      <c r="L11" s="47">
        <f>(LN($K$2/L5)+(($K$6-$K$7+(0.5*$K$8*$K$8))*$K$9))/($K$8*SQRT($K$9))</f>
        <v>1.910413263308399</v>
      </c>
      <c r="M11" s="47">
        <f>(LN($K$2/M5)+(($K$6-$K$7+(0.5*$K$8*$K$8))*$K$9))/($K$8*SQRT($K$9))</f>
        <v>1.910413263308399</v>
      </c>
      <c r="N11" s="47">
        <f>(LN($K$2/N5)+(($K$6-$K$7+(0.5*$K$8*$K$8))*$K$9))/($K$8*SQRT($K$9))</f>
        <v>1.8089838122551163</v>
      </c>
    </row>
    <row r="12" spans="1:14" x14ac:dyDescent="0.25">
      <c r="A12" s="54">
        <f t="shared" si="6"/>
        <v>16</v>
      </c>
      <c r="B12" s="55">
        <f t="shared" si="1"/>
        <v>0</v>
      </c>
      <c r="C12" s="56">
        <f t="shared" si="2"/>
        <v>0</v>
      </c>
      <c r="D12" s="56">
        <f t="shared" si="3"/>
        <v>0</v>
      </c>
      <c r="E12" s="56">
        <f t="shared" si="4"/>
        <v>0</v>
      </c>
      <c r="F12" s="175">
        <f t="shared" si="5"/>
        <v>0</v>
      </c>
      <c r="I12" s="49"/>
      <c r="J12" s="55" t="s">
        <v>109</v>
      </c>
      <c r="K12" s="60">
        <f>K11-($K$8*SQRT($K$9))</f>
        <v>-1.5226699683888301</v>
      </c>
      <c r="L12" s="60">
        <f>L11-($K$8*SQRT($K$9))</f>
        <v>1.78793877616924</v>
      </c>
      <c r="M12" s="60">
        <f>M11-($K$8*SQRT($K$9))</f>
        <v>1.78793877616924</v>
      </c>
      <c r="N12" s="60">
        <f>N11-($K$8*SQRT($K$9))</f>
        <v>1.6865093251159573</v>
      </c>
    </row>
    <row r="13" spans="1:14" x14ac:dyDescent="0.25">
      <c r="A13" s="54">
        <f t="shared" si="6"/>
        <v>18</v>
      </c>
      <c r="B13" s="55">
        <f t="shared" si="1"/>
        <v>0</v>
      </c>
      <c r="C13" s="56">
        <f t="shared" si="2"/>
        <v>0</v>
      </c>
      <c r="D13" s="56">
        <f t="shared" si="3"/>
        <v>0</v>
      </c>
      <c r="E13" s="56">
        <f t="shared" si="4"/>
        <v>0</v>
      </c>
      <c r="F13" s="175">
        <f t="shared" si="5"/>
        <v>0</v>
      </c>
      <c r="I13" s="44"/>
      <c r="J13" s="61" t="s">
        <v>110</v>
      </c>
      <c r="K13" s="62">
        <f>IF(K3="C",($K$2*EXP(-$K$7*$K$9)*NORMSDIST(K11))-(K5*EXP(-$K$6*$K$9)*NORMSDIST(K12)),(-$K$2*EXP(-$K$7*$K$9)*NORMSDIST(-K11))-(-K5*EXP(-$K$6*$K$9)*NORMSDIST(-K12)))</f>
        <v>20.028453349493091</v>
      </c>
      <c r="L13" s="62">
        <f>IF(L3="C",($K$2*EXP(-$K$7*$K$9)*NORMSDIST(L11))-(L5*EXP(-$K$6*$K$9)*NORMSDIST(L12)),(-$K$2*EXP(-$K$7*$K$9)*NORMSDIST(-L11))-(-L5*EXP(-$K$6*$K$9)*NORMSDIST(-L12)))</f>
        <v>0.13761247754943184</v>
      </c>
      <c r="M13" s="62">
        <f>IF(M3="C",($K$2*EXP(-$K$7*$K$9)*NORMSDIST(M11))-(M5*EXP(-$K$6*$K$9)*NORMSDIST(M12)),(-$K$2*EXP(-$K$7*$K$9)*NORMSDIST(-M11))-(-M5*EXP(-$K$6*$K$9)*NORMSDIST(-M12)))</f>
        <v>20.403835193187575</v>
      </c>
      <c r="N13" s="62">
        <f>IF(N3="C",($K$2*EXP(-$K$7*$K$9)*NORMSDIST(N11))-(N5*EXP(-$K$6*$K$9)*NORMSDIST(N12)),(-$K$2*EXP(-$K$7*$K$9)*NORMSDIST(-N11))-(-N5*EXP(-$K$6*$K$9)*NORMSDIST(-N12)))</f>
        <v>19.448274491027618</v>
      </c>
    </row>
    <row r="14" spans="1:14" x14ac:dyDescent="0.25">
      <c r="A14" s="54">
        <f t="shared" si="6"/>
        <v>20</v>
      </c>
      <c r="B14" s="55">
        <f t="shared" si="1"/>
        <v>0</v>
      </c>
      <c r="C14" s="56">
        <f t="shared" si="2"/>
        <v>0</v>
      </c>
      <c r="D14" s="56">
        <f t="shared" si="3"/>
        <v>0</v>
      </c>
      <c r="E14" s="56">
        <f t="shared" si="4"/>
        <v>0</v>
      </c>
      <c r="F14" s="175">
        <f t="shared" si="5"/>
        <v>0</v>
      </c>
      <c r="K14" s="96"/>
    </row>
    <row r="15" spans="1:14" x14ac:dyDescent="0.25">
      <c r="A15" s="54">
        <f t="shared" si="6"/>
        <v>22</v>
      </c>
      <c r="B15" s="55">
        <f t="shared" si="1"/>
        <v>0</v>
      </c>
      <c r="C15" s="56">
        <f t="shared" si="2"/>
        <v>0</v>
      </c>
      <c r="D15" s="56">
        <f t="shared" si="3"/>
        <v>0</v>
      </c>
      <c r="E15" s="56">
        <f t="shared" si="4"/>
        <v>0</v>
      </c>
      <c r="F15" s="175">
        <f t="shared" si="5"/>
        <v>0</v>
      </c>
    </row>
    <row r="16" spans="1:14" x14ac:dyDescent="0.25">
      <c r="A16" s="54">
        <f t="shared" si="6"/>
        <v>24</v>
      </c>
      <c r="B16" s="55">
        <f t="shared" si="1"/>
        <v>0</v>
      </c>
      <c r="C16" s="56">
        <f t="shared" si="2"/>
        <v>0</v>
      </c>
      <c r="D16" s="56">
        <f t="shared" si="3"/>
        <v>0</v>
      </c>
      <c r="E16" s="56">
        <f t="shared" si="4"/>
        <v>0</v>
      </c>
      <c r="F16" s="175">
        <f t="shared" si="5"/>
        <v>0</v>
      </c>
    </row>
    <row r="17" spans="1:9" x14ac:dyDescent="0.25">
      <c r="A17" s="54">
        <f t="shared" si="6"/>
        <v>26</v>
      </c>
      <c r="B17" s="55">
        <f t="shared" si="1"/>
        <v>0</v>
      </c>
      <c r="C17" s="56">
        <f t="shared" si="2"/>
        <v>0</v>
      </c>
      <c r="D17" s="56">
        <f t="shared" si="3"/>
        <v>0</v>
      </c>
      <c r="E17" s="56">
        <f t="shared" si="4"/>
        <v>0</v>
      </c>
      <c r="F17" s="175">
        <f t="shared" si="5"/>
        <v>0</v>
      </c>
    </row>
    <row r="18" spans="1:9" x14ac:dyDescent="0.25">
      <c r="A18" s="54">
        <f t="shared" si="6"/>
        <v>28</v>
      </c>
      <c r="B18" s="55">
        <f t="shared" si="1"/>
        <v>0</v>
      </c>
      <c r="C18" s="56">
        <f t="shared" si="2"/>
        <v>0</v>
      </c>
      <c r="D18" s="56">
        <f t="shared" si="3"/>
        <v>0</v>
      </c>
      <c r="E18" s="56">
        <f t="shared" si="4"/>
        <v>0</v>
      </c>
      <c r="F18" s="175">
        <f t="shared" si="5"/>
        <v>0</v>
      </c>
    </row>
    <row r="19" spans="1:9" x14ac:dyDescent="0.25">
      <c r="A19" s="54">
        <f t="shared" si="6"/>
        <v>30</v>
      </c>
      <c r="B19" s="55">
        <f t="shared" si="1"/>
        <v>0</v>
      </c>
      <c r="C19" s="56">
        <f t="shared" si="2"/>
        <v>0</v>
      </c>
      <c r="D19" s="56">
        <f t="shared" si="3"/>
        <v>0</v>
      </c>
      <c r="E19" s="56">
        <f t="shared" si="4"/>
        <v>0</v>
      </c>
      <c r="F19" s="175">
        <f t="shared" si="5"/>
        <v>0</v>
      </c>
    </row>
    <row r="20" spans="1:9" x14ac:dyDescent="0.25">
      <c r="A20" s="54">
        <f t="shared" si="6"/>
        <v>32</v>
      </c>
      <c r="B20" s="55">
        <f t="shared" si="1"/>
        <v>0</v>
      </c>
      <c r="C20" s="56">
        <f t="shared" si="2"/>
        <v>0</v>
      </c>
      <c r="D20" s="56">
        <f t="shared" si="3"/>
        <v>0</v>
      </c>
      <c r="E20" s="56">
        <f t="shared" si="4"/>
        <v>0</v>
      </c>
      <c r="F20" s="175">
        <f t="shared" si="5"/>
        <v>0</v>
      </c>
    </row>
    <row r="21" spans="1:9" x14ac:dyDescent="0.25">
      <c r="A21" s="54">
        <f t="shared" si="6"/>
        <v>34</v>
      </c>
      <c r="B21" s="55">
        <f t="shared" si="1"/>
        <v>0</v>
      </c>
      <c r="C21" s="56">
        <f t="shared" si="2"/>
        <v>0</v>
      </c>
      <c r="D21" s="56">
        <f t="shared" si="3"/>
        <v>0</v>
      </c>
      <c r="E21" s="56">
        <f t="shared" si="4"/>
        <v>0</v>
      </c>
      <c r="F21" s="175">
        <f t="shared" si="5"/>
        <v>0</v>
      </c>
    </row>
    <row r="22" spans="1:9" x14ac:dyDescent="0.25">
      <c r="A22" s="54">
        <f t="shared" si="6"/>
        <v>36</v>
      </c>
      <c r="B22" s="55">
        <f t="shared" si="1"/>
        <v>0</v>
      </c>
      <c r="C22" s="56">
        <f t="shared" si="2"/>
        <v>0</v>
      </c>
      <c r="D22" s="56">
        <f t="shared" si="3"/>
        <v>0</v>
      </c>
      <c r="E22" s="56">
        <f t="shared" si="4"/>
        <v>0</v>
      </c>
      <c r="F22" s="175">
        <f t="shared" si="5"/>
        <v>0</v>
      </c>
    </row>
    <row r="23" spans="1:9" x14ac:dyDescent="0.25">
      <c r="A23" s="54">
        <f t="shared" si="6"/>
        <v>38</v>
      </c>
      <c r="B23" s="55">
        <f t="shared" si="1"/>
        <v>0</v>
      </c>
      <c r="C23" s="56">
        <f t="shared" si="2"/>
        <v>0</v>
      </c>
      <c r="D23" s="56">
        <f t="shared" si="3"/>
        <v>0</v>
      </c>
      <c r="E23" s="56">
        <f t="shared" si="4"/>
        <v>0</v>
      </c>
      <c r="F23" s="175">
        <f t="shared" si="5"/>
        <v>0</v>
      </c>
    </row>
    <row r="24" spans="1:9" x14ac:dyDescent="0.25">
      <c r="A24" s="54">
        <f t="shared" si="6"/>
        <v>40</v>
      </c>
      <c r="B24" s="55">
        <f t="shared" si="1"/>
        <v>0</v>
      </c>
      <c r="C24" s="56">
        <f t="shared" si="2"/>
        <v>0</v>
      </c>
      <c r="D24" s="56">
        <f t="shared" si="3"/>
        <v>0</v>
      </c>
      <c r="E24" s="56">
        <f t="shared" si="4"/>
        <v>0</v>
      </c>
      <c r="F24" s="175">
        <f t="shared" si="5"/>
        <v>0</v>
      </c>
    </row>
    <row r="25" spans="1:9" x14ac:dyDescent="0.25">
      <c r="A25" s="54">
        <f t="shared" si="6"/>
        <v>42</v>
      </c>
      <c r="B25" s="55">
        <f t="shared" si="1"/>
        <v>0</v>
      </c>
      <c r="C25" s="56">
        <f t="shared" si="2"/>
        <v>0</v>
      </c>
      <c r="D25" s="56">
        <f t="shared" si="3"/>
        <v>0</v>
      </c>
      <c r="E25" s="56">
        <f t="shared" si="4"/>
        <v>0</v>
      </c>
      <c r="F25" s="175">
        <f t="shared" si="5"/>
        <v>0</v>
      </c>
      <c r="I25" s="63"/>
    </row>
    <row r="26" spans="1:9" x14ac:dyDescent="0.25">
      <c r="A26" s="54">
        <f t="shared" si="6"/>
        <v>44</v>
      </c>
      <c r="B26" s="55">
        <f t="shared" si="1"/>
        <v>0</v>
      </c>
      <c r="C26" s="56">
        <f t="shared" si="2"/>
        <v>0</v>
      </c>
      <c r="D26" s="56">
        <f t="shared" si="3"/>
        <v>0</v>
      </c>
      <c r="E26" s="56">
        <f t="shared" si="4"/>
        <v>0</v>
      </c>
      <c r="F26" s="175">
        <f t="shared" si="5"/>
        <v>0</v>
      </c>
    </row>
    <row r="27" spans="1:9" x14ac:dyDescent="0.25">
      <c r="A27" s="54">
        <f t="shared" si="6"/>
        <v>46</v>
      </c>
      <c r="B27" s="55">
        <f t="shared" si="1"/>
        <v>0</v>
      </c>
      <c r="C27" s="56">
        <f t="shared" si="2"/>
        <v>0</v>
      </c>
      <c r="D27" s="56">
        <f t="shared" si="3"/>
        <v>0</v>
      </c>
      <c r="E27" s="56">
        <f t="shared" si="4"/>
        <v>0</v>
      </c>
      <c r="F27" s="175">
        <f t="shared" si="5"/>
        <v>0</v>
      </c>
    </row>
    <row r="28" spans="1:9" x14ac:dyDescent="0.25">
      <c r="A28" s="54">
        <f t="shared" si="6"/>
        <v>48</v>
      </c>
      <c r="B28" s="55">
        <f t="shared" si="1"/>
        <v>0</v>
      </c>
      <c r="C28" s="56">
        <f t="shared" si="2"/>
        <v>0</v>
      </c>
      <c r="D28" s="56">
        <f t="shared" si="3"/>
        <v>0</v>
      </c>
      <c r="E28" s="56">
        <f t="shared" si="4"/>
        <v>0</v>
      </c>
      <c r="F28" s="175">
        <f t="shared" si="5"/>
        <v>0</v>
      </c>
    </row>
    <row r="29" spans="1:9" x14ac:dyDescent="0.25">
      <c r="A29" s="54">
        <f t="shared" si="6"/>
        <v>50</v>
      </c>
      <c r="B29" s="55">
        <f t="shared" si="1"/>
        <v>0</v>
      </c>
      <c r="C29" s="56">
        <f t="shared" si="2"/>
        <v>0</v>
      </c>
      <c r="D29" s="56">
        <f t="shared" si="3"/>
        <v>0</v>
      </c>
      <c r="E29" s="56">
        <f t="shared" si="4"/>
        <v>0</v>
      </c>
      <c r="F29" s="175">
        <f t="shared" si="5"/>
        <v>0</v>
      </c>
    </row>
    <row r="30" spans="1:9" x14ac:dyDescent="0.25">
      <c r="A30" s="54">
        <f t="shared" si="6"/>
        <v>52</v>
      </c>
      <c r="B30" s="55">
        <f t="shared" si="1"/>
        <v>0</v>
      </c>
      <c r="C30" s="56">
        <f t="shared" si="2"/>
        <v>0</v>
      </c>
      <c r="D30" s="56">
        <f t="shared" si="3"/>
        <v>0</v>
      </c>
      <c r="E30" s="56">
        <f t="shared" si="4"/>
        <v>0</v>
      </c>
      <c r="F30" s="175">
        <f t="shared" si="5"/>
        <v>0</v>
      </c>
    </row>
    <row r="31" spans="1:9" x14ac:dyDescent="0.25">
      <c r="A31" s="54">
        <f t="shared" si="6"/>
        <v>54</v>
      </c>
      <c r="B31" s="55">
        <f t="shared" si="1"/>
        <v>0</v>
      </c>
      <c r="C31" s="56">
        <f t="shared" si="2"/>
        <v>0</v>
      </c>
      <c r="D31" s="56">
        <f t="shared" si="3"/>
        <v>0</v>
      </c>
      <c r="E31" s="56">
        <f t="shared" si="4"/>
        <v>0</v>
      </c>
      <c r="F31" s="175">
        <f t="shared" si="5"/>
        <v>0</v>
      </c>
    </row>
    <row r="32" spans="1:9" x14ac:dyDescent="0.25">
      <c r="A32" s="54">
        <f t="shared" si="6"/>
        <v>56</v>
      </c>
      <c r="B32" s="55">
        <f t="shared" si="1"/>
        <v>0</v>
      </c>
      <c r="C32" s="56">
        <f t="shared" si="2"/>
        <v>0</v>
      </c>
      <c r="D32" s="56">
        <f t="shared" si="3"/>
        <v>0</v>
      </c>
      <c r="E32" s="56">
        <f t="shared" si="4"/>
        <v>0</v>
      </c>
      <c r="F32" s="175">
        <f t="shared" si="5"/>
        <v>0</v>
      </c>
    </row>
    <row r="33" spans="1:6" x14ac:dyDescent="0.25">
      <c r="A33" s="54">
        <f t="shared" si="6"/>
        <v>58</v>
      </c>
      <c r="B33" s="55">
        <f t="shared" si="1"/>
        <v>0</v>
      </c>
      <c r="C33" s="56">
        <f t="shared" si="2"/>
        <v>0</v>
      </c>
      <c r="D33" s="56">
        <f t="shared" si="3"/>
        <v>0</v>
      </c>
      <c r="E33" s="56">
        <f t="shared" si="4"/>
        <v>0</v>
      </c>
      <c r="F33" s="175">
        <f t="shared" si="5"/>
        <v>0</v>
      </c>
    </row>
    <row r="34" spans="1:6" x14ac:dyDescent="0.25">
      <c r="A34" s="54">
        <f t="shared" si="6"/>
        <v>60</v>
      </c>
      <c r="B34" s="55">
        <f t="shared" si="1"/>
        <v>0</v>
      </c>
      <c r="C34" s="56">
        <f t="shared" si="2"/>
        <v>0</v>
      </c>
      <c r="D34" s="56">
        <f t="shared" si="3"/>
        <v>0</v>
      </c>
      <c r="E34" s="56">
        <f t="shared" si="4"/>
        <v>0</v>
      </c>
      <c r="F34" s="175">
        <f t="shared" si="5"/>
        <v>0</v>
      </c>
    </row>
    <row r="35" spans="1:6" x14ac:dyDescent="0.25">
      <c r="A35" s="54">
        <f t="shared" si="6"/>
        <v>62</v>
      </c>
      <c r="B35" s="55">
        <f t="shared" si="1"/>
        <v>0</v>
      </c>
      <c r="C35" s="56">
        <f t="shared" si="2"/>
        <v>0</v>
      </c>
      <c r="D35" s="56">
        <f t="shared" si="3"/>
        <v>0</v>
      </c>
      <c r="E35" s="56">
        <f t="shared" si="4"/>
        <v>0</v>
      </c>
      <c r="F35" s="175">
        <f t="shared" si="5"/>
        <v>0</v>
      </c>
    </row>
    <row r="36" spans="1:6" x14ac:dyDescent="0.25">
      <c r="A36" s="54">
        <f t="shared" si="6"/>
        <v>64</v>
      </c>
      <c r="B36" s="55">
        <f t="shared" si="1"/>
        <v>0</v>
      </c>
      <c r="C36" s="56">
        <f t="shared" si="2"/>
        <v>0</v>
      </c>
      <c r="D36" s="56">
        <f t="shared" si="3"/>
        <v>0</v>
      </c>
      <c r="E36" s="56">
        <f t="shared" si="4"/>
        <v>0</v>
      </c>
      <c r="F36" s="175">
        <f t="shared" si="5"/>
        <v>0</v>
      </c>
    </row>
    <row r="37" spans="1:6" x14ac:dyDescent="0.25">
      <c r="A37" s="54">
        <f t="shared" si="6"/>
        <v>66</v>
      </c>
      <c r="B37" s="55">
        <f t="shared" si="1"/>
        <v>0</v>
      </c>
      <c r="C37" s="56">
        <f t="shared" si="2"/>
        <v>0</v>
      </c>
      <c r="D37" s="56">
        <f t="shared" si="3"/>
        <v>0</v>
      </c>
      <c r="E37" s="56">
        <f t="shared" si="4"/>
        <v>0</v>
      </c>
      <c r="F37" s="175">
        <f t="shared" si="5"/>
        <v>0</v>
      </c>
    </row>
    <row r="38" spans="1:6" x14ac:dyDescent="0.25">
      <c r="A38" s="54">
        <f t="shared" si="6"/>
        <v>68</v>
      </c>
      <c r="B38" s="55">
        <f t="shared" si="1"/>
        <v>0</v>
      </c>
      <c r="C38" s="56">
        <f t="shared" si="2"/>
        <v>0</v>
      </c>
      <c r="D38" s="56">
        <f t="shared" si="3"/>
        <v>0</v>
      </c>
      <c r="E38" s="56">
        <f t="shared" si="4"/>
        <v>0</v>
      </c>
      <c r="F38" s="175">
        <f t="shared" si="5"/>
        <v>0</v>
      </c>
    </row>
    <row r="39" spans="1:6" x14ac:dyDescent="0.25">
      <c r="A39" s="54">
        <f t="shared" si="6"/>
        <v>70</v>
      </c>
      <c r="B39" s="55">
        <f t="shared" si="1"/>
        <v>0</v>
      </c>
      <c r="C39" s="56">
        <f t="shared" si="2"/>
        <v>0</v>
      </c>
      <c r="D39" s="56">
        <f t="shared" si="3"/>
        <v>0</v>
      </c>
      <c r="E39" s="56">
        <f t="shared" si="4"/>
        <v>0</v>
      </c>
      <c r="F39" s="175">
        <f t="shared" si="5"/>
        <v>0</v>
      </c>
    </row>
    <row r="40" spans="1:6" x14ac:dyDescent="0.25">
      <c r="A40" s="54">
        <f t="shared" si="6"/>
        <v>72</v>
      </c>
      <c r="B40" s="55">
        <f t="shared" si="1"/>
        <v>0</v>
      </c>
      <c r="C40" s="56">
        <f t="shared" si="2"/>
        <v>0</v>
      </c>
      <c r="D40" s="56">
        <f t="shared" si="3"/>
        <v>0</v>
      </c>
      <c r="E40" s="56">
        <f t="shared" si="4"/>
        <v>0</v>
      </c>
      <c r="F40" s="175">
        <f t="shared" si="5"/>
        <v>0</v>
      </c>
    </row>
    <row r="41" spans="1:6" x14ac:dyDescent="0.25">
      <c r="A41" s="54">
        <f t="shared" si="6"/>
        <v>74</v>
      </c>
      <c r="B41" s="55">
        <f t="shared" si="1"/>
        <v>0</v>
      </c>
      <c r="C41" s="56">
        <f t="shared" si="2"/>
        <v>0</v>
      </c>
      <c r="D41" s="56">
        <f t="shared" si="3"/>
        <v>0</v>
      </c>
      <c r="E41" s="56">
        <f t="shared" si="4"/>
        <v>0</v>
      </c>
      <c r="F41" s="175">
        <f t="shared" si="5"/>
        <v>0</v>
      </c>
    </row>
    <row r="42" spans="1:6" x14ac:dyDescent="0.25">
      <c r="A42" s="54">
        <f t="shared" si="6"/>
        <v>76</v>
      </c>
      <c r="B42" s="55">
        <f t="shared" si="1"/>
        <v>0</v>
      </c>
      <c r="C42" s="56">
        <f t="shared" si="2"/>
        <v>0</v>
      </c>
      <c r="D42" s="56">
        <f t="shared" si="3"/>
        <v>0</v>
      </c>
      <c r="E42" s="56">
        <f t="shared" si="4"/>
        <v>0</v>
      </c>
      <c r="F42" s="175">
        <f t="shared" si="5"/>
        <v>0</v>
      </c>
    </row>
    <row r="43" spans="1:6" x14ac:dyDescent="0.25">
      <c r="A43" s="54">
        <f t="shared" si="6"/>
        <v>78</v>
      </c>
      <c r="B43" s="55">
        <f t="shared" si="1"/>
        <v>0</v>
      </c>
      <c r="C43" s="56">
        <f t="shared" si="2"/>
        <v>0</v>
      </c>
      <c r="D43" s="56">
        <f t="shared" si="3"/>
        <v>0</v>
      </c>
      <c r="E43" s="56">
        <f t="shared" si="4"/>
        <v>0</v>
      </c>
      <c r="F43" s="175">
        <f t="shared" si="5"/>
        <v>0</v>
      </c>
    </row>
    <row r="44" spans="1:6" x14ac:dyDescent="0.25">
      <c r="A44" s="54">
        <f t="shared" si="6"/>
        <v>80</v>
      </c>
      <c r="B44" s="55">
        <f t="shared" si="1"/>
        <v>0</v>
      </c>
      <c r="C44" s="56">
        <f t="shared" si="2"/>
        <v>0</v>
      </c>
      <c r="D44" s="56">
        <f t="shared" si="3"/>
        <v>0</v>
      </c>
      <c r="E44" s="56">
        <f t="shared" si="4"/>
        <v>0</v>
      </c>
      <c r="F44" s="175">
        <f t="shared" si="5"/>
        <v>0</v>
      </c>
    </row>
    <row r="45" spans="1:6" x14ac:dyDescent="0.25">
      <c r="A45" s="54">
        <f t="shared" si="6"/>
        <v>82</v>
      </c>
      <c r="B45" s="55">
        <f t="shared" si="1"/>
        <v>0</v>
      </c>
      <c r="C45" s="56">
        <f t="shared" si="2"/>
        <v>0</v>
      </c>
      <c r="D45" s="56">
        <f t="shared" si="3"/>
        <v>2</v>
      </c>
      <c r="E45" s="56">
        <f t="shared" si="4"/>
        <v>-1</v>
      </c>
      <c r="F45" s="175">
        <f t="shared" si="5"/>
        <v>1</v>
      </c>
    </row>
    <row r="46" spans="1:6" x14ac:dyDescent="0.25">
      <c r="A46" s="54">
        <f t="shared" si="6"/>
        <v>84</v>
      </c>
      <c r="B46" s="55">
        <f t="shared" si="1"/>
        <v>0</v>
      </c>
      <c r="C46" s="56">
        <f t="shared" si="2"/>
        <v>0</v>
      </c>
      <c r="D46" s="56">
        <f t="shared" si="3"/>
        <v>4</v>
      </c>
      <c r="E46" s="56">
        <f t="shared" si="4"/>
        <v>-3</v>
      </c>
      <c r="F46" s="175">
        <f t="shared" si="5"/>
        <v>1</v>
      </c>
    </row>
    <row r="47" spans="1:6" x14ac:dyDescent="0.25">
      <c r="A47" s="54">
        <f t="shared" si="6"/>
        <v>86</v>
      </c>
      <c r="B47" s="55">
        <f t="shared" si="1"/>
        <v>0</v>
      </c>
      <c r="C47" s="56">
        <f t="shared" si="2"/>
        <v>0</v>
      </c>
      <c r="D47" s="56">
        <f t="shared" si="3"/>
        <v>6</v>
      </c>
      <c r="E47" s="56">
        <f t="shared" si="4"/>
        <v>-5</v>
      </c>
      <c r="F47" s="175">
        <f t="shared" si="5"/>
        <v>1</v>
      </c>
    </row>
    <row r="48" spans="1:6" x14ac:dyDescent="0.25">
      <c r="A48" s="54">
        <f t="shared" si="6"/>
        <v>88</v>
      </c>
      <c r="B48" s="55">
        <f t="shared" si="1"/>
        <v>0</v>
      </c>
      <c r="C48" s="56">
        <f t="shared" si="2"/>
        <v>0</v>
      </c>
      <c r="D48" s="56">
        <f t="shared" si="3"/>
        <v>8</v>
      </c>
      <c r="E48" s="56">
        <f t="shared" si="4"/>
        <v>-7</v>
      </c>
      <c r="F48" s="175">
        <f t="shared" si="5"/>
        <v>1</v>
      </c>
    </row>
    <row r="49" spans="1:6" x14ac:dyDescent="0.25">
      <c r="A49" s="54">
        <f t="shared" si="6"/>
        <v>90</v>
      </c>
      <c r="B49" s="55">
        <f t="shared" si="1"/>
        <v>0</v>
      </c>
      <c r="C49" s="56">
        <f t="shared" si="2"/>
        <v>0</v>
      </c>
      <c r="D49" s="56">
        <f t="shared" si="3"/>
        <v>10</v>
      </c>
      <c r="E49" s="56">
        <f t="shared" si="4"/>
        <v>-9</v>
      </c>
      <c r="F49" s="175">
        <f t="shared" si="5"/>
        <v>1</v>
      </c>
    </row>
    <row r="50" spans="1:6" x14ac:dyDescent="0.25">
      <c r="A50" s="54">
        <f t="shared" si="6"/>
        <v>92</v>
      </c>
      <c r="B50" s="55">
        <f t="shared" si="1"/>
        <v>0</v>
      </c>
      <c r="C50" s="56">
        <f t="shared" si="2"/>
        <v>0</v>
      </c>
      <c r="D50" s="56">
        <f t="shared" si="3"/>
        <v>12</v>
      </c>
      <c r="E50" s="56">
        <f t="shared" si="4"/>
        <v>-11</v>
      </c>
      <c r="F50" s="175">
        <f t="shared" si="5"/>
        <v>1</v>
      </c>
    </row>
    <row r="51" spans="1:6" x14ac:dyDescent="0.25">
      <c r="A51" s="54">
        <f t="shared" si="6"/>
        <v>94</v>
      </c>
      <c r="B51" s="55">
        <f t="shared" si="1"/>
        <v>0</v>
      </c>
      <c r="C51" s="56">
        <f t="shared" si="2"/>
        <v>0</v>
      </c>
      <c r="D51" s="56">
        <f t="shared" si="3"/>
        <v>14</v>
      </c>
      <c r="E51" s="56">
        <f t="shared" si="4"/>
        <v>-13</v>
      </c>
      <c r="F51" s="175">
        <f t="shared" si="5"/>
        <v>1</v>
      </c>
    </row>
    <row r="52" spans="1:6" x14ac:dyDescent="0.25">
      <c r="A52" s="54">
        <f t="shared" si="6"/>
        <v>96</v>
      </c>
      <c r="B52" s="55">
        <f t="shared" si="1"/>
        <v>0</v>
      </c>
      <c r="C52" s="56">
        <f t="shared" si="2"/>
        <v>0</v>
      </c>
      <c r="D52" s="56">
        <f t="shared" si="3"/>
        <v>16</v>
      </c>
      <c r="E52" s="56">
        <f t="shared" si="4"/>
        <v>-15</v>
      </c>
      <c r="F52" s="175">
        <f t="shared" si="5"/>
        <v>1</v>
      </c>
    </row>
    <row r="53" spans="1:6" x14ac:dyDescent="0.25">
      <c r="A53" s="54">
        <f t="shared" si="6"/>
        <v>98</v>
      </c>
      <c r="B53" s="55">
        <f t="shared" si="1"/>
        <v>0</v>
      </c>
      <c r="C53" s="56">
        <f t="shared" si="2"/>
        <v>0</v>
      </c>
      <c r="D53" s="56">
        <f t="shared" si="3"/>
        <v>18</v>
      </c>
      <c r="E53" s="56">
        <f t="shared" si="4"/>
        <v>-17</v>
      </c>
      <c r="F53" s="175">
        <f t="shared" si="5"/>
        <v>1</v>
      </c>
    </row>
    <row r="54" spans="1:6" x14ac:dyDescent="0.25">
      <c r="A54" s="54">
        <f t="shared" si="6"/>
        <v>100</v>
      </c>
      <c r="B54" s="55">
        <f t="shared" si="1"/>
        <v>0</v>
      </c>
      <c r="C54" s="56">
        <f t="shared" si="2"/>
        <v>0</v>
      </c>
      <c r="D54" s="56">
        <f t="shared" si="3"/>
        <v>20</v>
      </c>
      <c r="E54" s="56">
        <f t="shared" si="4"/>
        <v>-19</v>
      </c>
      <c r="F54" s="175">
        <f t="shared" si="5"/>
        <v>1</v>
      </c>
    </row>
    <row r="55" spans="1:6" x14ac:dyDescent="0.25">
      <c r="A55" s="54">
        <f t="shared" si="6"/>
        <v>102</v>
      </c>
      <c r="B55" s="55">
        <f t="shared" si="1"/>
        <v>0</v>
      </c>
      <c r="C55" s="56">
        <f t="shared" si="2"/>
        <v>0</v>
      </c>
      <c r="D55" s="56">
        <f t="shared" si="3"/>
        <v>22</v>
      </c>
      <c r="E55" s="56">
        <f t="shared" si="4"/>
        <v>-21</v>
      </c>
      <c r="F55" s="175">
        <f t="shared" si="5"/>
        <v>1</v>
      </c>
    </row>
    <row r="56" spans="1:6" x14ac:dyDescent="0.25">
      <c r="A56" s="54">
        <f t="shared" si="6"/>
        <v>104</v>
      </c>
      <c r="B56" s="55">
        <f t="shared" si="1"/>
        <v>0</v>
      </c>
      <c r="C56" s="56">
        <f t="shared" si="2"/>
        <v>0</v>
      </c>
      <c r="D56" s="56">
        <f t="shared" si="3"/>
        <v>24</v>
      </c>
      <c r="E56" s="56">
        <f t="shared" si="4"/>
        <v>-23</v>
      </c>
      <c r="F56" s="175">
        <f t="shared" si="5"/>
        <v>1</v>
      </c>
    </row>
    <row r="57" spans="1:6" x14ac:dyDescent="0.25">
      <c r="A57" s="54">
        <f t="shared" si="6"/>
        <v>106</v>
      </c>
      <c r="B57" s="55">
        <f t="shared" si="1"/>
        <v>0</v>
      </c>
      <c r="C57" s="56">
        <f t="shared" si="2"/>
        <v>0</v>
      </c>
      <c r="D57" s="56">
        <f t="shared" si="3"/>
        <v>26</v>
      </c>
      <c r="E57" s="56">
        <f t="shared" si="4"/>
        <v>-25</v>
      </c>
      <c r="F57" s="175">
        <f t="shared" si="5"/>
        <v>1</v>
      </c>
    </row>
    <row r="58" spans="1:6" x14ac:dyDescent="0.25">
      <c r="A58" s="54">
        <f t="shared" si="6"/>
        <v>108</v>
      </c>
      <c r="B58" s="55">
        <f t="shared" si="1"/>
        <v>0</v>
      </c>
      <c r="C58" s="56">
        <f t="shared" si="2"/>
        <v>0</v>
      </c>
      <c r="D58" s="56">
        <f t="shared" si="3"/>
        <v>28</v>
      </c>
      <c r="E58" s="56">
        <f t="shared" si="4"/>
        <v>-27</v>
      </c>
      <c r="F58" s="175">
        <f t="shared" si="5"/>
        <v>1</v>
      </c>
    </row>
    <row r="59" spans="1:6" x14ac:dyDescent="0.25">
      <c r="A59" s="54">
        <f t="shared" si="6"/>
        <v>110</v>
      </c>
      <c r="B59" s="55">
        <f t="shared" si="1"/>
        <v>0</v>
      </c>
      <c r="C59" s="56">
        <f t="shared" si="2"/>
        <v>0</v>
      </c>
      <c r="D59" s="56">
        <f t="shared" si="3"/>
        <v>30</v>
      </c>
      <c r="E59" s="56">
        <f t="shared" si="4"/>
        <v>-29</v>
      </c>
      <c r="F59" s="175">
        <f t="shared" si="5"/>
        <v>1</v>
      </c>
    </row>
    <row r="60" spans="1:6" x14ac:dyDescent="0.25">
      <c r="A60" s="54">
        <f t="shared" si="6"/>
        <v>112</v>
      </c>
      <c r="B60" s="55">
        <f t="shared" si="1"/>
        <v>0</v>
      </c>
      <c r="C60" s="56">
        <f t="shared" si="2"/>
        <v>0</v>
      </c>
      <c r="D60" s="56">
        <f t="shared" si="3"/>
        <v>32</v>
      </c>
      <c r="E60" s="56">
        <f t="shared" si="4"/>
        <v>-31</v>
      </c>
      <c r="F60" s="175">
        <f t="shared" si="5"/>
        <v>1</v>
      </c>
    </row>
    <row r="61" spans="1:6" x14ac:dyDescent="0.25">
      <c r="A61" s="54">
        <f t="shared" si="6"/>
        <v>114</v>
      </c>
      <c r="B61" s="55">
        <f t="shared" si="1"/>
        <v>0</v>
      </c>
      <c r="C61" s="56">
        <f t="shared" si="2"/>
        <v>0</v>
      </c>
      <c r="D61" s="56">
        <f t="shared" si="3"/>
        <v>34</v>
      </c>
      <c r="E61" s="56">
        <f t="shared" si="4"/>
        <v>-33</v>
      </c>
      <c r="F61" s="175">
        <f t="shared" si="5"/>
        <v>1</v>
      </c>
    </row>
    <row r="62" spans="1:6" x14ac:dyDescent="0.25">
      <c r="A62" s="54">
        <f t="shared" si="6"/>
        <v>116</v>
      </c>
      <c r="B62" s="55">
        <f t="shared" si="1"/>
        <v>0</v>
      </c>
      <c r="C62" s="56">
        <f t="shared" si="2"/>
        <v>0</v>
      </c>
      <c r="D62" s="56">
        <f t="shared" si="3"/>
        <v>36</v>
      </c>
      <c r="E62" s="56">
        <f t="shared" si="4"/>
        <v>-35</v>
      </c>
      <c r="F62" s="175">
        <f t="shared" si="5"/>
        <v>1</v>
      </c>
    </row>
    <row r="63" spans="1:6" x14ac:dyDescent="0.25">
      <c r="A63" s="54">
        <f t="shared" si="6"/>
        <v>118</v>
      </c>
      <c r="B63" s="55">
        <f t="shared" si="1"/>
        <v>0</v>
      </c>
      <c r="C63" s="56">
        <f t="shared" si="2"/>
        <v>0</v>
      </c>
      <c r="D63" s="56">
        <f t="shared" si="3"/>
        <v>38</v>
      </c>
      <c r="E63" s="56">
        <f t="shared" si="4"/>
        <v>-37</v>
      </c>
      <c r="F63" s="175">
        <f t="shared" si="5"/>
        <v>1</v>
      </c>
    </row>
    <row r="64" spans="1:6" x14ac:dyDescent="0.25">
      <c r="A64" s="54">
        <f t="shared" si="6"/>
        <v>120</v>
      </c>
      <c r="B64" s="55">
        <f t="shared" si="1"/>
        <v>0</v>
      </c>
      <c r="C64" s="56">
        <f t="shared" si="2"/>
        <v>0</v>
      </c>
      <c r="D64" s="56">
        <f t="shared" si="3"/>
        <v>40</v>
      </c>
      <c r="E64" s="56">
        <f t="shared" si="4"/>
        <v>-39</v>
      </c>
      <c r="F64" s="175">
        <f t="shared" si="5"/>
        <v>1</v>
      </c>
    </row>
    <row r="65" spans="1:6" x14ac:dyDescent="0.25">
      <c r="A65" s="54">
        <f t="shared" si="6"/>
        <v>122</v>
      </c>
      <c r="B65" s="55">
        <f t="shared" si="1"/>
        <v>0</v>
      </c>
      <c r="C65" s="56">
        <f t="shared" si="2"/>
        <v>0</v>
      </c>
      <c r="D65" s="56">
        <f t="shared" si="3"/>
        <v>42</v>
      </c>
      <c r="E65" s="56">
        <f t="shared" si="4"/>
        <v>-41</v>
      </c>
      <c r="F65" s="175">
        <f t="shared" si="5"/>
        <v>1</v>
      </c>
    </row>
    <row r="66" spans="1:6" x14ac:dyDescent="0.25">
      <c r="A66" s="54">
        <f t="shared" si="6"/>
        <v>124</v>
      </c>
      <c r="B66" s="55">
        <f t="shared" si="1"/>
        <v>0</v>
      </c>
      <c r="C66" s="56">
        <f t="shared" si="2"/>
        <v>0</v>
      </c>
      <c r="D66" s="56">
        <f t="shared" si="3"/>
        <v>44</v>
      </c>
      <c r="E66" s="56">
        <f t="shared" si="4"/>
        <v>-43</v>
      </c>
      <c r="F66" s="175">
        <f t="shared" si="5"/>
        <v>1</v>
      </c>
    </row>
    <row r="67" spans="1:6" x14ac:dyDescent="0.25">
      <c r="A67" s="54">
        <f t="shared" si="6"/>
        <v>126</v>
      </c>
      <c r="B67" s="55">
        <f t="shared" si="1"/>
        <v>0</v>
      </c>
      <c r="C67" s="56">
        <f t="shared" si="2"/>
        <v>0</v>
      </c>
      <c r="D67" s="56">
        <f t="shared" si="3"/>
        <v>46</v>
      </c>
      <c r="E67" s="56">
        <f t="shared" si="4"/>
        <v>-45</v>
      </c>
      <c r="F67" s="175">
        <f t="shared" si="5"/>
        <v>1</v>
      </c>
    </row>
    <row r="68" spans="1:6" x14ac:dyDescent="0.25">
      <c r="A68" s="54">
        <f t="shared" si="6"/>
        <v>128</v>
      </c>
      <c r="B68" s="55">
        <f t="shared" si="1"/>
        <v>0</v>
      </c>
      <c r="C68" s="56">
        <f t="shared" si="2"/>
        <v>0</v>
      </c>
      <c r="D68" s="56">
        <f t="shared" si="3"/>
        <v>48</v>
      </c>
      <c r="E68" s="56">
        <f t="shared" si="4"/>
        <v>-47</v>
      </c>
      <c r="F68" s="175">
        <f t="shared" si="5"/>
        <v>1</v>
      </c>
    </row>
    <row r="69" spans="1:6" x14ac:dyDescent="0.25">
      <c r="A69" s="54">
        <f t="shared" si="6"/>
        <v>130</v>
      </c>
      <c r="B69" s="55">
        <f t="shared" ref="B69:B104" si="7">(MAX(IF($B$1="C",1,-1)*(A69-$K$5),0)-IF($K$10="Y",$K$13*EXP($K$6*$K$9),0))*$K$4</f>
        <v>0</v>
      </c>
      <c r="C69" s="56">
        <f t="shared" ref="C69:C104" si="8">(MAX(IF($C$1="C",1,-1)*(A69-$L$5),0)-IF($K$10="Y",$L$13*EXP($K$6*$K$9),0))*$L$4</f>
        <v>0</v>
      </c>
      <c r="D69" s="56">
        <f t="shared" ref="D69:D104" si="9">(MAX(IF($D$1="C",1,-1)*(A69-$M$5),0)-IF($K$10="Y",$M$13*EXP($K$6*$K$9),0))*$M$4</f>
        <v>50</v>
      </c>
      <c r="E69" s="56">
        <f t="shared" ref="E69:E104" si="10">(MAX(IF($E$1="C",1,-1)*(A69-$N$5),0)-IF($K$10="Y",$N$13*EXP($K$6*$K$9),0))*$N$4</f>
        <v>-49</v>
      </c>
      <c r="F69" s="175">
        <f t="shared" ref="F69:F104" si="11">SUM(B69:E69)</f>
        <v>1</v>
      </c>
    </row>
    <row r="70" spans="1:6" x14ac:dyDescent="0.25">
      <c r="A70" s="54">
        <f t="shared" ref="A70:A104" si="12">A69+2</f>
        <v>132</v>
      </c>
      <c r="B70" s="55">
        <f t="shared" si="7"/>
        <v>0</v>
      </c>
      <c r="C70" s="56">
        <f t="shared" si="8"/>
        <v>0</v>
      </c>
      <c r="D70" s="56">
        <f t="shared" si="9"/>
        <v>52</v>
      </c>
      <c r="E70" s="56">
        <f t="shared" si="10"/>
        <v>-51</v>
      </c>
      <c r="F70" s="175">
        <f t="shared" si="11"/>
        <v>1</v>
      </c>
    </row>
    <row r="71" spans="1:6" x14ac:dyDescent="0.25">
      <c r="A71" s="54">
        <f t="shared" si="12"/>
        <v>134</v>
      </c>
      <c r="B71" s="55">
        <f t="shared" si="7"/>
        <v>0</v>
      </c>
      <c r="C71" s="56">
        <f t="shared" si="8"/>
        <v>0</v>
      </c>
      <c r="D71" s="56">
        <f t="shared" si="9"/>
        <v>54</v>
      </c>
      <c r="E71" s="56">
        <f t="shared" si="10"/>
        <v>-53</v>
      </c>
      <c r="F71" s="175">
        <f t="shared" si="11"/>
        <v>1</v>
      </c>
    </row>
    <row r="72" spans="1:6" x14ac:dyDescent="0.25">
      <c r="A72" s="54">
        <f t="shared" si="12"/>
        <v>136</v>
      </c>
      <c r="B72" s="55">
        <f t="shared" si="7"/>
        <v>0</v>
      </c>
      <c r="C72" s="56">
        <f t="shared" si="8"/>
        <v>0</v>
      </c>
      <c r="D72" s="56">
        <f t="shared" si="9"/>
        <v>56</v>
      </c>
      <c r="E72" s="56">
        <f t="shared" si="10"/>
        <v>-55</v>
      </c>
      <c r="F72" s="175">
        <f t="shared" si="11"/>
        <v>1</v>
      </c>
    </row>
    <row r="73" spans="1:6" x14ac:dyDescent="0.25">
      <c r="A73" s="54">
        <f t="shared" si="12"/>
        <v>138</v>
      </c>
      <c r="B73" s="55">
        <f t="shared" si="7"/>
        <v>0</v>
      </c>
      <c r="C73" s="56">
        <f t="shared" si="8"/>
        <v>0</v>
      </c>
      <c r="D73" s="56">
        <f t="shared" si="9"/>
        <v>58</v>
      </c>
      <c r="E73" s="56">
        <f t="shared" si="10"/>
        <v>-57</v>
      </c>
      <c r="F73" s="175">
        <f t="shared" si="11"/>
        <v>1</v>
      </c>
    </row>
    <row r="74" spans="1:6" x14ac:dyDescent="0.25">
      <c r="A74" s="54">
        <f t="shared" si="12"/>
        <v>140</v>
      </c>
      <c r="B74" s="55">
        <f t="shared" si="7"/>
        <v>0</v>
      </c>
      <c r="C74" s="56">
        <f t="shared" si="8"/>
        <v>0</v>
      </c>
      <c r="D74" s="56">
        <f t="shared" si="9"/>
        <v>60</v>
      </c>
      <c r="E74" s="56">
        <f t="shared" si="10"/>
        <v>-59</v>
      </c>
      <c r="F74" s="175">
        <f t="shared" si="11"/>
        <v>1</v>
      </c>
    </row>
    <row r="75" spans="1:6" x14ac:dyDescent="0.25">
      <c r="A75" s="54">
        <f t="shared" si="12"/>
        <v>142</v>
      </c>
      <c r="B75" s="55">
        <f t="shared" si="7"/>
        <v>0</v>
      </c>
      <c r="C75" s="56">
        <f t="shared" si="8"/>
        <v>0</v>
      </c>
      <c r="D75" s="56">
        <f t="shared" si="9"/>
        <v>62</v>
      </c>
      <c r="E75" s="56">
        <f t="shared" si="10"/>
        <v>-61</v>
      </c>
      <c r="F75" s="175">
        <f t="shared" si="11"/>
        <v>1</v>
      </c>
    </row>
    <row r="76" spans="1:6" x14ac:dyDescent="0.25">
      <c r="A76" s="54">
        <f t="shared" si="12"/>
        <v>144</v>
      </c>
      <c r="B76" s="55">
        <f t="shared" si="7"/>
        <v>0</v>
      </c>
      <c r="C76" s="56">
        <f t="shared" si="8"/>
        <v>0</v>
      </c>
      <c r="D76" s="56">
        <f t="shared" si="9"/>
        <v>64</v>
      </c>
      <c r="E76" s="56">
        <f t="shared" si="10"/>
        <v>-63</v>
      </c>
      <c r="F76" s="175">
        <f t="shared" si="11"/>
        <v>1</v>
      </c>
    </row>
    <row r="77" spans="1:6" x14ac:dyDescent="0.25">
      <c r="A77" s="54">
        <f t="shared" si="12"/>
        <v>146</v>
      </c>
      <c r="B77" s="55">
        <f t="shared" si="7"/>
        <v>0</v>
      </c>
      <c r="C77" s="56">
        <f t="shared" si="8"/>
        <v>0</v>
      </c>
      <c r="D77" s="56">
        <f t="shared" si="9"/>
        <v>66</v>
      </c>
      <c r="E77" s="56">
        <f t="shared" si="10"/>
        <v>-65</v>
      </c>
      <c r="F77" s="175">
        <f t="shared" si="11"/>
        <v>1</v>
      </c>
    </row>
    <row r="78" spans="1:6" x14ac:dyDescent="0.25">
      <c r="A78" s="54">
        <f t="shared" si="12"/>
        <v>148</v>
      </c>
      <c r="B78" s="55">
        <f t="shared" si="7"/>
        <v>0</v>
      </c>
      <c r="C78" s="56">
        <f t="shared" si="8"/>
        <v>0</v>
      </c>
      <c r="D78" s="56">
        <f t="shared" si="9"/>
        <v>68</v>
      </c>
      <c r="E78" s="56">
        <f t="shared" si="10"/>
        <v>-67</v>
      </c>
      <c r="F78" s="175">
        <f t="shared" si="11"/>
        <v>1</v>
      </c>
    </row>
    <row r="79" spans="1:6" x14ac:dyDescent="0.25">
      <c r="A79" s="54">
        <f t="shared" si="12"/>
        <v>150</v>
      </c>
      <c r="B79" s="55">
        <f t="shared" si="7"/>
        <v>0</v>
      </c>
      <c r="C79" s="56">
        <f t="shared" si="8"/>
        <v>0</v>
      </c>
      <c r="D79" s="56">
        <f t="shared" si="9"/>
        <v>70</v>
      </c>
      <c r="E79" s="56">
        <f t="shared" si="10"/>
        <v>-69</v>
      </c>
      <c r="F79" s="175">
        <f t="shared" si="11"/>
        <v>1</v>
      </c>
    </row>
    <row r="80" spans="1:6" x14ac:dyDescent="0.25">
      <c r="A80" s="54">
        <f t="shared" si="12"/>
        <v>152</v>
      </c>
      <c r="B80" s="55">
        <f t="shared" si="7"/>
        <v>0</v>
      </c>
      <c r="C80" s="56">
        <f t="shared" si="8"/>
        <v>0</v>
      </c>
      <c r="D80" s="56">
        <f t="shared" si="9"/>
        <v>72</v>
      </c>
      <c r="E80" s="56">
        <f t="shared" si="10"/>
        <v>-71</v>
      </c>
      <c r="F80" s="175">
        <f t="shared" si="11"/>
        <v>1</v>
      </c>
    </row>
    <row r="81" spans="1:6" x14ac:dyDescent="0.25">
      <c r="A81" s="54">
        <f t="shared" si="12"/>
        <v>154</v>
      </c>
      <c r="B81" s="55">
        <f t="shared" si="7"/>
        <v>0</v>
      </c>
      <c r="C81" s="56">
        <f t="shared" si="8"/>
        <v>0</v>
      </c>
      <c r="D81" s="56">
        <f t="shared" si="9"/>
        <v>74</v>
      </c>
      <c r="E81" s="56">
        <f t="shared" si="10"/>
        <v>-73</v>
      </c>
      <c r="F81" s="175">
        <f t="shared" si="11"/>
        <v>1</v>
      </c>
    </row>
    <row r="82" spans="1:6" x14ac:dyDescent="0.25">
      <c r="A82" s="54">
        <f t="shared" si="12"/>
        <v>156</v>
      </c>
      <c r="B82" s="55">
        <f t="shared" si="7"/>
        <v>0</v>
      </c>
      <c r="C82" s="56">
        <f t="shared" si="8"/>
        <v>0</v>
      </c>
      <c r="D82" s="56">
        <f t="shared" si="9"/>
        <v>76</v>
      </c>
      <c r="E82" s="56">
        <f t="shared" si="10"/>
        <v>-75</v>
      </c>
      <c r="F82" s="175">
        <f t="shared" si="11"/>
        <v>1</v>
      </c>
    </row>
    <row r="83" spans="1:6" x14ac:dyDescent="0.25">
      <c r="A83" s="54">
        <f t="shared" si="12"/>
        <v>158</v>
      </c>
      <c r="B83" s="55">
        <f t="shared" si="7"/>
        <v>0</v>
      </c>
      <c r="C83" s="56">
        <f t="shared" si="8"/>
        <v>0</v>
      </c>
      <c r="D83" s="56">
        <f t="shared" si="9"/>
        <v>78</v>
      </c>
      <c r="E83" s="56">
        <f t="shared" si="10"/>
        <v>-77</v>
      </c>
      <c r="F83" s="175">
        <f t="shared" si="11"/>
        <v>1</v>
      </c>
    </row>
    <row r="84" spans="1:6" x14ac:dyDescent="0.25">
      <c r="A84" s="54">
        <f t="shared" si="12"/>
        <v>160</v>
      </c>
      <c r="B84" s="55">
        <f t="shared" si="7"/>
        <v>0</v>
      </c>
      <c r="C84" s="56">
        <f t="shared" si="8"/>
        <v>0</v>
      </c>
      <c r="D84" s="56">
        <f t="shared" si="9"/>
        <v>80</v>
      </c>
      <c r="E84" s="56">
        <f t="shared" si="10"/>
        <v>-79</v>
      </c>
      <c r="F84" s="175">
        <f t="shared" si="11"/>
        <v>1</v>
      </c>
    </row>
    <row r="85" spans="1:6" x14ac:dyDescent="0.25">
      <c r="A85" s="54">
        <f t="shared" si="12"/>
        <v>162</v>
      </c>
      <c r="B85" s="55">
        <f t="shared" si="7"/>
        <v>0</v>
      </c>
      <c r="C85" s="56">
        <f t="shared" si="8"/>
        <v>0</v>
      </c>
      <c r="D85" s="56">
        <f t="shared" si="9"/>
        <v>82</v>
      </c>
      <c r="E85" s="56">
        <f t="shared" si="10"/>
        <v>-81</v>
      </c>
      <c r="F85" s="175">
        <f t="shared" si="11"/>
        <v>1</v>
      </c>
    </row>
    <row r="86" spans="1:6" x14ac:dyDescent="0.25">
      <c r="A86" s="54">
        <f t="shared" si="12"/>
        <v>164</v>
      </c>
      <c r="B86" s="55">
        <f t="shared" si="7"/>
        <v>0</v>
      </c>
      <c r="C86" s="56">
        <f t="shared" si="8"/>
        <v>0</v>
      </c>
      <c r="D86" s="56">
        <f t="shared" si="9"/>
        <v>84</v>
      </c>
      <c r="E86" s="56">
        <f t="shared" si="10"/>
        <v>-83</v>
      </c>
      <c r="F86" s="175">
        <f t="shared" si="11"/>
        <v>1</v>
      </c>
    </row>
    <row r="87" spans="1:6" x14ac:dyDescent="0.25">
      <c r="A87" s="54">
        <f t="shared" si="12"/>
        <v>166</v>
      </c>
      <c r="B87" s="55">
        <f t="shared" si="7"/>
        <v>0</v>
      </c>
      <c r="C87" s="56">
        <f t="shared" si="8"/>
        <v>0</v>
      </c>
      <c r="D87" s="56">
        <f t="shared" si="9"/>
        <v>86</v>
      </c>
      <c r="E87" s="56">
        <f t="shared" si="10"/>
        <v>-85</v>
      </c>
      <c r="F87" s="175">
        <f t="shared" si="11"/>
        <v>1</v>
      </c>
    </row>
    <row r="88" spans="1:6" x14ac:dyDescent="0.25">
      <c r="A88" s="54">
        <f t="shared" si="12"/>
        <v>168</v>
      </c>
      <c r="B88" s="55">
        <f t="shared" si="7"/>
        <v>0</v>
      </c>
      <c r="C88" s="56">
        <f t="shared" si="8"/>
        <v>0</v>
      </c>
      <c r="D88" s="56">
        <f t="shared" si="9"/>
        <v>88</v>
      </c>
      <c r="E88" s="56">
        <f t="shared" si="10"/>
        <v>-87</v>
      </c>
      <c r="F88" s="175">
        <f t="shared" si="11"/>
        <v>1</v>
      </c>
    </row>
    <row r="89" spans="1:6" x14ac:dyDescent="0.25">
      <c r="A89" s="54">
        <f t="shared" si="12"/>
        <v>170</v>
      </c>
      <c r="B89" s="55">
        <f t="shared" si="7"/>
        <v>0</v>
      </c>
      <c r="C89" s="56">
        <f t="shared" si="8"/>
        <v>0</v>
      </c>
      <c r="D89" s="56">
        <f t="shared" si="9"/>
        <v>90</v>
      </c>
      <c r="E89" s="56">
        <f t="shared" si="10"/>
        <v>-89</v>
      </c>
      <c r="F89" s="175">
        <f t="shared" si="11"/>
        <v>1</v>
      </c>
    </row>
    <row r="90" spans="1:6" x14ac:dyDescent="0.25">
      <c r="A90" s="54">
        <f t="shared" si="12"/>
        <v>172</v>
      </c>
      <c r="B90" s="55">
        <f t="shared" si="7"/>
        <v>0</v>
      </c>
      <c r="C90" s="56">
        <f t="shared" si="8"/>
        <v>0</v>
      </c>
      <c r="D90" s="56">
        <f t="shared" si="9"/>
        <v>92</v>
      </c>
      <c r="E90" s="56">
        <f t="shared" si="10"/>
        <v>-91</v>
      </c>
      <c r="F90" s="175">
        <f t="shared" si="11"/>
        <v>1</v>
      </c>
    </row>
    <row r="91" spans="1:6" x14ac:dyDescent="0.25">
      <c r="A91" s="54">
        <f t="shared" si="12"/>
        <v>174</v>
      </c>
      <c r="B91" s="55">
        <f t="shared" si="7"/>
        <v>0</v>
      </c>
      <c r="C91" s="56">
        <f t="shared" si="8"/>
        <v>0</v>
      </c>
      <c r="D91" s="56">
        <f t="shared" si="9"/>
        <v>94</v>
      </c>
      <c r="E91" s="56">
        <f t="shared" si="10"/>
        <v>-93</v>
      </c>
      <c r="F91" s="175">
        <f t="shared" si="11"/>
        <v>1</v>
      </c>
    </row>
    <row r="92" spans="1:6" x14ac:dyDescent="0.25">
      <c r="A92" s="54">
        <f t="shared" si="12"/>
        <v>176</v>
      </c>
      <c r="B92" s="55">
        <f t="shared" si="7"/>
        <v>0</v>
      </c>
      <c r="C92" s="56">
        <f t="shared" si="8"/>
        <v>0</v>
      </c>
      <c r="D92" s="56">
        <f t="shared" si="9"/>
        <v>96</v>
      </c>
      <c r="E92" s="56">
        <f t="shared" si="10"/>
        <v>-95</v>
      </c>
      <c r="F92" s="175">
        <f t="shared" si="11"/>
        <v>1</v>
      </c>
    </row>
    <row r="93" spans="1:6" x14ac:dyDescent="0.25">
      <c r="A93" s="54">
        <f t="shared" si="12"/>
        <v>178</v>
      </c>
      <c r="B93" s="55">
        <f t="shared" si="7"/>
        <v>0</v>
      </c>
      <c r="C93" s="56">
        <f t="shared" si="8"/>
        <v>0</v>
      </c>
      <c r="D93" s="56">
        <f t="shared" si="9"/>
        <v>98</v>
      </c>
      <c r="E93" s="56">
        <f t="shared" si="10"/>
        <v>-97</v>
      </c>
      <c r="F93" s="175">
        <f t="shared" si="11"/>
        <v>1</v>
      </c>
    </row>
    <row r="94" spans="1:6" x14ac:dyDescent="0.25">
      <c r="A94" s="54">
        <f t="shared" si="12"/>
        <v>180</v>
      </c>
      <c r="B94" s="55">
        <f t="shared" si="7"/>
        <v>0</v>
      </c>
      <c r="C94" s="56">
        <f t="shared" si="8"/>
        <v>0</v>
      </c>
      <c r="D94" s="56">
        <f t="shared" si="9"/>
        <v>100</v>
      </c>
      <c r="E94" s="56">
        <f t="shared" si="10"/>
        <v>-99</v>
      </c>
      <c r="F94" s="175">
        <f t="shared" si="11"/>
        <v>1</v>
      </c>
    </row>
    <row r="95" spans="1:6" x14ac:dyDescent="0.25">
      <c r="A95" s="54">
        <f t="shared" si="12"/>
        <v>182</v>
      </c>
      <c r="B95" s="55">
        <f t="shared" si="7"/>
        <v>0</v>
      </c>
      <c r="C95" s="56">
        <f t="shared" si="8"/>
        <v>0</v>
      </c>
      <c r="D95" s="56">
        <f t="shared" si="9"/>
        <v>102</v>
      </c>
      <c r="E95" s="56">
        <f t="shared" si="10"/>
        <v>-101</v>
      </c>
      <c r="F95" s="175">
        <f t="shared" si="11"/>
        <v>1</v>
      </c>
    </row>
    <row r="96" spans="1:6" x14ac:dyDescent="0.25">
      <c r="A96" s="54">
        <f t="shared" si="12"/>
        <v>184</v>
      </c>
      <c r="B96" s="55">
        <f t="shared" si="7"/>
        <v>0</v>
      </c>
      <c r="C96" s="56">
        <f t="shared" si="8"/>
        <v>0</v>
      </c>
      <c r="D96" s="56">
        <f t="shared" si="9"/>
        <v>104</v>
      </c>
      <c r="E96" s="56">
        <f t="shared" si="10"/>
        <v>-103</v>
      </c>
      <c r="F96" s="175">
        <f t="shared" si="11"/>
        <v>1</v>
      </c>
    </row>
    <row r="97" spans="1:6" x14ac:dyDescent="0.25">
      <c r="A97" s="54">
        <f t="shared" si="12"/>
        <v>186</v>
      </c>
      <c r="B97" s="55">
        <f t="shared" si="7"/>
        <v>0</v>
      </c>
      <c r="C97" s="56">
        <f t="shared" si="8"/>
        <v>0</v>
      </c>
      <c r="D97" s="56">
        <f t="shared" si="9"/>
        <v>106</v>
      </c>
      <c r="E97" s="56">
        <f t="shared" si="10"/>
        <v>-105</v>
      </c>
      <c r="F97" s="175">
        <f t="shared" si="11"/>
        <v>1</v>
      </c>
    </row>
    <row r="98" spans="1:6" x14ac:dyDescent="0.25">
      <c r="A98" s="54">
        <f t="shared" si="12"/>
        <v>188</v>
      </c>
      <c r="B98" s="55">
        <f t="shared" si="7"/>
        <v>0</v>
      </c>
      <c r="C98" s="56">
        <f t="shared" si="8"/>
        <v>0</v>
      </c>
      <c r="D98" s="56">
        <f t="shared" si="9"/>
        <v>108</v>
      </c>
      <c r="E98" s="56">
        <f t="shared" si="10"/>
        <v>-107</v>
      </c>
      <c r="F98" s="175">
        <f t="shared" si="11"/>
        <v>1</v>
      </c>
    </row>
    <row r="99" spans="1:6" x14ac:dyDescent="0.25">
      <c r="A99" s="54">
        <f t="shared" si="12"/>
        <v>190</v>
      </c>
      <c r="B99" s="55">
        <f t="shared" si="7"/>
        <v>0</v>
      </c>
      <c r="C99" s="56">
        <f t="shared" si="8"/>
        <v>0</v>
      </c>
      <c r="D99" s="56">
        <f t="shared" si="9"/>
        <v>110</v>
      </c>
      <c r="E99" s="56">
        <f t="shared" si="10"/>
        <v>-109</v>
      </c>
      <c r="F99" s="175">
        <f t="shared" si="11"/>
        <v>1</v>
      </c>
    </row>
    <row r="100" spans="1:6" x14ac:dyDescent="0.25">
      <c r="A100" s="54">
        <f t="shared" si="12"/>
        <v>192</v>
      </c>
      <c r="B100" s="55">
        <f t="shared" si="7"/>
        <v>0</v>
      </c>
      <c r="C100" s="56">
        <f t="shared" si="8"/>
        <v>0</v>
      </c>
      <c r="D100" s="56">
        <f t="shared" si="9"/>
        <v>112</v>
      </c>
      <c r="E100" s="56">
        <f t="shared" si="10"/>
        <v>-111</v>
      </c>
      <c r="F100" s="175">
        <f t="shared" si="11"/>
        <v>1</v>
      </c>
    </row>
    <row r="101" spans="1:6" x14ac:dyDescent="0.25">
      <c r="A101" s="54">
        <f t="shared" si="12"/>
        <v>194</v>
      </c>
      <c r="B101" s="55">
        <f t="shared" si="7"/>
        <v>0</v>
      </c>
      <c r="C101" s="56">
        <f t="shared" si="8"/>
        <v>0</v>
      </c>
      <c r="D101" s="56">
        <f t="shared" si="9"/>
        <v>114</v>
      </c>
      <c r="E101" s="56">
        <f t="shared" si="10"/>
        <v>-113</v>
      </c>
      <c r="F101" s="175">
        <f t="shared" si="11"/>
        <v>1</v>
      </c>
    </row>
    <row r="102" spans="1:6" x14ac:dyDescent="0.25">
      <c r="A102" s="54">
        <f t="shared" si="12"/>
        <v>196</v>
      </c>
      <c r="B102" s="55">
        <f t="shared" si="7"/>
        <v>0</v>
      </c>
      <c r="C102" s="56">
        <f t="shared" si="8"/>
        <v>0</v>
      </c>
      <c r="D102" s="56">
        <f t="shared" si="9"/>
        <v>116</v>
      </c>
      <c r="E102" s="56">
        <f t="shared" si="10"/>
        <v>-115</v>
      </c>
      <c r="F102" s="175">
        <f t="shared" si="11"/>
        <v>1</v>
      </c>
    </row>
    <row r="103" spans="1:6" x14ac:dyDescent="0.25">
      <c r="A103" s="54">
        <f t="shared" si="12"/>
        <v>198</v>
      </c>
      <c r="B103" s="55">
        <f t="shared" si="7"/>
        <v>0</v>
      </c>
      <c r="C103" s="56">
        <f t="shared" si="8"/>
        <v>0</v>
      </c>
      <c r="D103" s="56">
        <f t="shared" si="9"/>
        <v>118</v>
      </c>
      <c r="E103" s="56">
        <f t="shared" si="10"/>
        <v>-117</v>
      </c>
      <c r="F103" s="175">
        <f t="shared" si="11"/>
        <v>1</v>
      </c>
    </row>
    <row r="104" spans="1:6" x14ac:dyDescent="0.25">
      <c r="A104" s="64">
        <f t="shared" si="12"/>
        <v>200</v>
      </c>
      <c r="B104" s="65">
        <f t="shared" si="7"/>
        <v>0</v>
      </c>
      <c r="C104" s="58">
        <f t="shared" si="8"/>
        <v>0</v>
      </c>
      <c r="D104" s="58">
        <f t="shared" si="9"/>
        <v>120</v>
      </c>
      <c r="E104" s="58">
        <f t="shared" si="10"/>
        <v>-119</v>
      </c>
      <c r="F104" s="176">
        <f t="shared" si="11"/>
        <v>1</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A1:A2"/>
    <mergeCell ref="B1:B2"/>
    <mergeCell ref="C1:C2"/>
    <mergeCell ref="D1:D2"/>
    <mergeCell ref="E1:E2"/>
    <mergeCell ref="I2:I10"/>
    <mergeCell ref="K2:N2"/>
    <mergeCell ref="B3:E3"/>
    <mergeCell ref="K6:N6"/>
    <mergeCell ref="K7:N7"/>
    <mergeCell ref="K8:N8"/>
    <mergeCell ref="K9:N9"/>
    <mergeCell ref="K10:N10"/>
    <mergeCell ref="F1:F3"/>
  </mergeCells>
  <pageMargins left="0.75" right="0.75" top="1" bottom="1" header="0.5" footer="0.5"/>
  <pageSetup orientation="portrait" r:id="rId1"/>
  <headerFooter alignWithMargins="0"/>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C2CC-45E2-44D7-B2E8-693A43CB94DD}">
  <dimension ref="A1:N132"/>
  <sheetViews>
    <sheetView topLeftCell="G1" zoomScale="110" zoomScaleNormal="110" workbookViewId="0">
      <selection activeCell="K5" sqref="K5"/>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P</v>
      </c>
      <c r="C1" s="724" t="str">
        <f>L3</f>
        <v>P</v>
      </c>
      <c r="D1" s="724" t="str">
        <f t="shared" ref="D1:E1" si="0">M3</f>
        <v>C</v>
      </c>
      <c r="E1" s="724" t="str">
        <f t="shared" si="0"/>
        <v>C</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98</v>
      </c>
      <c r="L3" s="46" t="s">
        <v>98</v>
      </c>
      <c r="M3" s="46" t="s">
        <v>99</v>
      </c>
      <c r="N3" s="46" t="s">
        <v>99</v>
      </c>
    </row>
    <row r="4" spans="1:14" x14ac:dyDescent="0.25">
      <c r="A4" s="51">
        <v>0</v>
      </c>
      <c r="B4" s="52">
        <f>(MAX(IF($B$1="C",1,-1)*(A4-$K$5),0)-IF($K$10="Y",$K$13*EXP($K$6*$K$9),0))*$K$4</f>
        <v>99.904673746421139</v>
      </c>
      <c r="C4" s="45">
        <f>(MAX(IF($C$1="C",1,-1)*(A4-$L$5),0)-IF($K$10="Y",$L$13*EXP($K$6*$K$9),0))*$L$4</f>
        <v>-79.861928048828133</v>
      </c>
      <c r="D4" s="45">
        <f>(MAX(IF($D$1="C",1,-1)*(A4-$M$5),0)-IF($K$10="Y",$M$13*EXP($K$6*$K$9),0))*$M$4</f>
        <v>0</v>
      </c>
      <c r="E4" s="45">
        <f>(MAX(IF($E$1="C",1,-1)*(A4-$N$5),0)-IF($K$10="Y",$N$13*EXP($K$6*$K$9),0))*$N$4</f>
        <v>0</v>
      </c>
      <c r="F4" s="174">
        <f>SUM(B4:E4)</f>
        <v>20.042745697593006</v>
      </c>
      <c r="I4" s="715"/>
      <c r="J4" s="50" t="s">
        <v>100</v>
      </c>
      <c r="K4" s="46">
        <v>1</v>
      </c>
      <c r="L4" s="46">
        <v>-1</v>
      </c>
      <c r="M4" s="46">
        <v>0</v>
      </c>
      <c r="N4" s="46">
        <v>0</v>
      </c>
    </row>
    <row r="5" spans="1:14" x14ac:dyDescent="0.25">
      <c r="A5" s="54">
        <f>A4+2</f>
        <v>2</v>
      </c>
      <c r="B5" s="55">
        <f t="shared" ref="B5:B68" si="1">(MAX(IF($B$1="C",1,-1)*(A5-$K$5),0)-IF($K$10="Y",$K$13*EXP($K$6*$K$9),0))*$K$4</f>
        <v>97.904673746421139</v>
      </c>
      <c r="C5" s="56">
        <f t="shared" ref="C5:C68" si="2">(MAX(IF($C$1="C",1,-1)*(A5-$L$5),0)-IF($K$10="Y",$L$13*EXP($K$6*$K$9),0))*$L$4</f>
        <v>-77.861928048828133</v>
      </c>
      <c r="D5" s="56">
        <f t="shared" ref="D5:D68" si="3">(MAX(IF($D$1="C",1,-1)*(A5-$M$5),0)-IF($K$10="Y",$M$13*EXP($K$6*$K$9),0))*$M$4</f>
        <v>0</v>
      </c>
      <c r="E5" s="56">
        <f t="shared" ref="E5:E68" si="4">(MAX(IF($E$1="C",1,-1)*(A5-$N$5),0)-IF($K$10="Y",$N$13*EXP($K$6*$K$9),0))*$N$4</f>
        <v>0</v>
      </c>
      <c r="F5" s="175">
        <f t="shared" ref="F5:F68" si="5">SUM(B5:E5)</f>
        <v>20.042745697593006</v>
      </c>
      <c r="I5" s="715"/>
      <c r="J5" s="56" t="s">
        <v>101</v>
      </c>
      <c r="K5" s="46">
        <v>120</v>
      </c>
      <c r="L5" s="46">
        <v>80</v>
      </c>
      <c r="M5" s="46">
        <v>100</v>
      </c>
      <c r="N5" s="46">
        <v>120</v>
      </c>
    </row>
    <row r="6" spans="1:14" x14ac:dyDescent="0.25">
      <c r="A6" s="54">
        <f t="shared" ref="A6:A69" si="6">A5+2</f>
        <v>4</v>
      </c>
      <c r="B6" s="55">
        <f t="shared" si="1"/>
        <v>95.904673746421139</v>
      </c>
      <c r="C6" s="56">
        <f t="shared" si="2"/>
        <v>-75.861928048828133</v>
      </c>
      <c r="D6" s="56">
        <f t="shared" si="3"/>
        <v>0</v>
      </c>
      <c r="E6" s="56">
        <f t="shared" si="4"/>
        <v>0</v>
      </c>
      <c r="F6" s="175">
        <f t="shared" si="5"/>
        <v>20.042745697593006</v>
      </c>
      <c r="I6" s="715"/>
      <c r="J6" s="56" t="s">
        <v>102</v>
      </c>
      <c r="K6" s="758">
        <v>0.02</v>
      </c>
      <c r="L6" s="719"/>
      <c r="M6" s="719"/>
      <c r="N6" s="720"/>
    </row>
    <row r="7" spans="1:14" x14ac:dyDescent="0.25">
      <c r="A7" s="54">
        <f t="shared" si="6"/>
        <v>6</v>
      </c>
      <c r="B7" s="55">
        <f t="shared" si="1"/>
        <v>93.904673746421139</v>
      </c>
      <c r="C7" s="56">
        <f t="shared" si="2"/>
        <v>-73.861928048828133</v>
      </c>
      <c r="D7" s="56">
        <f t="shared" si="3"/>
        <v>0</v>
      </c>
      <c r="E7" s="56">
        <f t="shared" si="4"/>
        <v>0</v>
      </c>
      <c r="F7" s="175">
        <f t="shared" si="5"/>
        <v>20.042745697593006</v>
      </c>
      <c r="I7" s="715"/>
      <c r="J7" s="56" t="s">
        <v>103</v>
      </c>
      <c r="K7" s="758">
        <v>0</v>
      </c>
      <c r="L7" s="719"/>
      <c r="M7" s="719"/>
      <c r="N7" s="720"/>
    </row>
    <row r="8" spans="1:14" x14ac:dyDescent="0.25">
      <c r="A8" s="54">
        <f t="shared" si="6"/>
        <v>8</v>
      </c>
      <c r="B8" s="55">
        <f t="shared" si="1"/>
        <v>91.904673746421139</v>
      </c>
      <c r="C8" s="56">
        <f t="shared" si="2"/>
        <v>-71.861928048828133</v>
      </c>
      <c r="D8" s="56">
        <f t="shared" si="3"/>
        <v>0</v>
      </c>
      <c r="E8" s="56">
        <f t="shared" si="4"/>
        <v>0</v>
      </c>
      <c r="F8" s="175">
        <f t="shared" si="5"/>
        <v>20.042745697593006</v>
      </c>
      <c r="I8" s="715"/>
      <c r="J8" s="56" t="s">
        <v>104</v>
      </c>
      <c r="K8" s="758">
        <v>0.3</v>
      </c>
      <c r="L8" s="719"/>
      <c r="M8" s="719"/>
      <c r="N8" s="720"/>
    </row>
    <row r="9" spans="1:14" x14ac:dyDescent="0.25">
      <c r="A9" s="54">
        <f t="shared" si="6"/>
        <v>10</v>
      </c>
      <c r="B9" s="55">
        <f t="shared" si="1"/>
        <v>89.904673746421139</v>
      </c>
      <c r="C9" s="56">
        <f t="shared" si="2"/>
        <v>-69.861928048828133</v>
      </c>
      <c r="D9" s="56">
        <f t="shared" si="3"/>
        <v>0</v>
      </c>
      <c r="E9" s="56">
        <f t="shared" si="4"/>
        <v>0</v>
      </c>
      <c r="F9" s="175">
        <f t="shared" si="5"/>
        <v>20.042745697593006</v>
      </c>
      <c r="I9" s="715"/>
      <c r="J9" s="58" t="s">
        <v>105</v>
      </c>
      <c r="K9" s="729">
        <f>2/12</f>
        <v>0.16666666666666666</v>
      </c>
      <c r="L9" s="721"/>
      <c r="M9" s="721"/>
      <c r="N9" s="722"/>
    </row>
    <row r="10" spans="1:14" x14ac:dyDescent="0.25">
      <c r="A10" s="54">
        <f t="shared" si="6"/>
        <v>12</v>
      </c>
      <c r="B10" s="55">
        <f t="shared" si="1"/>
        <v>87.904673746421139</v>
      </c>
      <c r="C10" s="56">
        <f t="shared" si="2"/>
        <v>-67.861928048828133</v>
      </c>
      <c r="D10" s="56">
        <f t="shared" si="3"/>
        <v>0</v>
      </c>
      <c r="E10" s="56">
        <f t="shared" si="4"/>
        <v>0</v>
      </c>
      <c r="F10" s="175">
        <f t="shared" si="5"/>
        <v>20.042745697593006</v>
      </c>
      <c r="I10" s="716"/>
      <c r="J10" s="59" t="s">
        <v>106</v>
      </c>
      <c r="K10" s="729" t="s">
        <v>122</v>
      </c>
      <c r="L10" s="721"/>
      <c r="M10" s="721"/>
      <c r="N10" s="722"/>
    </row>
    <row r="11" spans="1:14" x14ac:dyDescent="0.25">
      <c r="A11" s="54">
        <f t="shared" si="6"/>
        <v>14</v>
      </c>
      <c r="B11" s="55">
        <f t="shared" si="1"/>
        <v>85.904673746421139</v>
      </c>
      <c r="C11" s="56">
        <f t="shared" si="2"/>
        <v>-65.861928048828133</v>
      </c>
      <c r="D11" s="56">
        <f t="shared" si="3"/>
        <v>0</v>
      </c>
      <c r="E11" s="56">
        <f t="shared" si="4"/>
        <v>0</v>
      </c>
      <c r="F11" s="175">
        <f t="shared" si="5"/>
        <v>20.042745697593006</v>
      </c>
      <c r="I11" s="41" t="s">
        <v>107</v>
      </c>
      <c r="J11" s="52" t="s">
        <v>108</v>
      </c>
      <c r="K11" s="47">
        <f>(LN($K$2/K5)+(($K$6-$K$7+(0.5*$K$8*$K$8))*$K$9))/($K$8*SQRT($K$9))</f>
        <v>-1.4001954812496711</v>
      </c>
      <c r="L11" s="47">
        <f>(LN($K$2/L5)+(($K$6-$K$7+(0.5*$K$8*$K$8))*$K$9))/($K$8*SQRT($K$9))</f>
        <v>1.910413263308399</v>
      </c>
      <c r="M11" s="47">
        <f>(LN($K$2/M5)+(($K$6-$K$7+(0.5*$K$8*$K$8))*$K$9))/($K$8*SQRT($K$9))</f>
        <v>8.8453796267170329E-2</v>
      </c>
      <c r="N11" s="47">
        <f>(LN($K$2/N5)+(($K$6-$K$7+(0.5*$K$8*$K$8))*$K$9))/($K$8*SQRT($K$9))</f>
        <v>-1.4001954812496711</v>
      </c>
    </row>
    <row r="12" spans="1:14" x14ac:dyDescent="0.25">
      <c r="A12" s="54">
        <f t="shared" si="6"/>
        <v>16</v>
      </c>
      <c r="B12" s="55">
        <f t="shared" si="1"/>
        <v>83.904673746421139</v>
      </c>
      <c r="C12" s="56">
        <f t="shared" si="2"/>
        <v>-63.86192804882814</v>
      </c>
      <c r="D12" s="56">
        <f t="shared" si="3"/>
        <v>0</v>
      </c>
      <c r="E12" s="56">
        <f t="shared" si="4"/>
        <v>0</v>
      </c>
      <c r="F12" s="175">
        <f t="shared" si="5"/>
        <v>20.042745697592999</v>
      </c>
      <c r="I12" s="49"/>
      <c r="J12" s="55" t="s">
        <v>109</v>
      </c>
      <c r="K12" s="60">
        <f>K11-($K$8*SQRT($K$9))</f>
        <v>-1.5226699683888301</v>
      </c>
      <c r="L12" s="60">
        <f>L11-($K$8*SQRT($K$9))</f>
        <v>1.78793877616924</v>
      </c>
      <c r="M12" s="60">
        <f>M11-($K$8*SQRT($K$9))</f>
        <v>-3.4020690871988571E-2</v>
      </c>
      <c r="N12" s="60">
        <f>N11-($K$8*SQRT($K$9))</f>
        <v>-1.5226699683888301</v>
      </c>
    </row>
    <row r="13" spans="1:14" x14ac:dyDescent="0.25">
      <c r="A13" s="54">
        <f t="shared" si="6"/>
        <v>18</v>
      </c>
      <c r="B13" s="55">
        <f t="shared" si="1"/>
        <v>81.904673746421139</v>
      </c>
      <c r="C13" s="56">
        <f t="shared" si="2"/>
        <v>-61.86192804882814</v>
      </c>
      <c r="D13" s="56">
        <f t="shared" si="3"/>
        <v>0</v>
      </c>
      <c r="E13" s="56">
        <f t="shared" si="4"/>
        <v>0</v>
      </c>
      <c r="F13" s="175">
        <f t="shared" si="5"/>
        <v>20.042745697592999</v>
      </c>
      <c r="I13" s="44"/>
      <c r="J13" s="61" t="s">
        <v>110</v>
      </c>
      <c r="K13" s="62">
        <f>IF(K3="C",($K$2*EXP(-$K$7*$K$9)*NORMSDIST(K11))-(K5*EXP(-$K$6*$K$9)*NORMSDIST(K12)),(-$K$2*EXP(-$K$7*$K$9)*NORMSDIST(-K11))-(-K5*EXP(-$K$6*$K$9)*NORMSDIST(-K12)))</f>
        <v>20.028453349493091</v>
      </c>
      <c r="L13" s="62">
        <f>IF(L3="C",($K$2*EXP(-$K$7*$K$9)*NORMSDIST(L11))-(L5*EXP(-$K$6*$K$9)*NORMSDIST(L12)),(-$K$2*EXP(-$K$7*$K$9)*NORMSDIST(-L11))-(-L5*EXP(-$K$6*$K$9)*NORMSDIST(-L12)))</f>
        <v>0.13761247754943184</v>
      </c>
      <c r="M13" s="62">
        <f>IF(M3="C",($K$2*EXP(-$K$7*$K$9)*NORMSDIST(M11))-(M5*EXP(-$K$6*$K$9)*NORMSDIST(M12)),(-$K$2*EXP(-$K$7*$K$9)*NORMSDIST(-M11))-(-M5*EXP(-$K$6*$K$9)*NORMSDIST(-M12)))</f>
        <v>5.0430406581311829</v>
      </c>
      <c r="N13" s="62">
        <f>IF(N3="C",($K$2*EXP(-$K$7*$K$9)*NORMSDIST(N11))-(N5*EXP(-$K$6*$K$9)*NORMSDIST(N12)),(-$K$2*EXP(-$K$7*$K$9)*NORMSDIST(-N11))-(-N5*EXP(-$K$6*$K$9)*NORMSDIST(-N12)))</f>
        <v>0.42778742295030714</v>
      </c>
    </row>
    <row r="14" spans="1:14" x14ac:dyDescent="0.25">
      <c r="A14" s="54">
        <f t="shared" si="6"/>
        <v>20</v>
      </c>
      <c r="B14" s="55">
        <f t="shared" si="1"/>
        <v>79.904673746421139</v>
      </c>
      <c r="C14" s="56">
        <f t="shared" si="2"/>
        <v>-59.86192804882814</v>
      </c>
      <c r="D14" s="56">
        <f t="shared" si="3"/>
        <v>0</v>
      </c>
      <c r="E14" s="56">
        <f t="shared" si="4"/>
        <v>0</v>
      </c>
      <c r="F14" s="175">
        <f t="shared" si="5"/>
        <v>20.042745697592999</v>
      </c>
      <c r="K14" s="96"/>
    </row>
    <row r="15" spans="1:14" x14ac:dyDescent="0.25">
      <c r="A15" s="54">
        <f t="shared" si="6"/>
        <v>22</v>
      </c>
      <c r="B15" s="55">
        <f t="shared" si="1"/>
        <v>77.904673746421139</v>
      </c>
      <c r="C15" s="56">
        <f t="shared" si="2"/>
        <v>-57.86192804882814</v>
      </c>
      <c r="D15" s="56">
        <f t="shared" si="3"/>
        <v>0</v>
      </c>
      <c r="E15" s="56">
        <f t="shared" si="4"/>
        <v>0</v>
      </c>
      <c r="F15" s="175">
        <f t="shared" si="5"/>
        <v>20.042745697592999</v>
      </c>
    </row>
    <row r="16" spans="1:14" x14ac:dyDescent="0.25">
      <c r="A16" s="54">
        <f t="shared" si="6"/>
        <v>24</v>
      </c>
      <c r="B16" s="55">
        <f t="shared" si="1"/>
        <v>75.904673746421139</v>
      </c>
      <c r="C16" s="56">
        <f t="shared" si="2"/>
        <v>-55.86192804882814</v>
      </c>
      <c r="D16" s="56">
        <f t="shared" si="3"/>
        <v>0</v>
      </c>
      <c r="E16" s="56">
        <f t="shared" si="4"/>
        <v>0</v>
      </c>
      <c r="F16" s="175">
        <f t="shared" si="5"/>
        <v>20.042745697592999</v>
      </c>
    </row>
    <row r="17" spans="1:9" x14ac:dyDescent="0.25">
      <c r="A17" s="54">
        <f t="shared" si="6"/>
        <v>26</v>
      </c>
      <c r="B17" s="55">
        <f t="shared" si="1"/>
        <v>73.904673746421139</v>
      </c>
      <c r="C17" s="56">
        <f t="shared" si="2"/>
        <v>-53.86192804882814</v>
      </c>
      <c r="D17" s="56">
        <f t="shared" si="3"/>
        <v>0</v>
      </c>
      <c r="E17" s="56">
        <f t="shared" si="4"/>
        <v>0</v>
      </c>
      <c r="F17" s="175">
        <f t="shared" si="5"/>
        <v>20.042745697592999</v>
      </c>
    </row>
    <row r="18" spans="1:9" x14ac:dyDescent="0.25">
      <c r="A18" s="54">
        <f t="shared" si="6"/>
        <v>28</v>
      </c>
      <c r="B18" s="55">
        <f t="shared" si="1"/>
        <v>71.904673746421139</v>
      </c>
      <c r="C18" s="56">
        <f t="shared" si="2"/>
        <v>-51.86192804882814</v>
      </c>
      <c r="D18" s="56">
        <f t="shared" si="3"/>
        <v>0</v>
      </c>
      <c r="E18" s="56">
        <f t="shared" si="4"/>
        <v>0</v>
      </c>
      <c r="F18" s="175">
        <f t="shared" si="5"/>
        <v>20.042745697592999</v>
      </c>
    </row>
    <row r="19" spans="1:9" x14ac:dyDescent="0.25">
      <c r="A19" s="54">
        <f t="shared" si="6"/>
        <v>30</v>
      </c>
      <c r="B19" s="55">
        <f t="shared" si="1"/>
        <v>69.904673746421139</v>
      </c>
      <c r="C19" s="56">
        <f t="shared" si="2"/>
        <v>-49.86192804882814</v>
      </c>
      <c r="D19" s="56">
        <f t="shared" si="3"/>
        <v>0</v>
      </c>
      <c r="E19" s="56">
        <f t="shared" si="4"/>
        <v>0</v>
      </c>
      <c r="F19" s="175">
        <f t="shared" si="5"/>
        <v>20.042745697592999</v>
      </c>
    </row>
    <row r="20" spans="1:9" x14ac:dyDescent="0.25">
      <c r="A20" s="54">
        <f t="shared" si="6"/>
        <v>32</v>
      </c>
      <c r="B20" s="55">
        <f t="shared" si="1"/>
        <v>67.904673746421139</v>
      </c>
      <c r="C20" s="56">
        <f t="shared" si="2"/>
        <v>-47.86192804882814</v>
      </c>
      <c r="D20" s="56">
        <f t="shared" si="3"/>
        <v>0</v>
      </c>
      <c r="E20" s="56">
        <f t="shared" si="4"/>
        <v>0</v>
      </c>
      <c r="F20" s="175">
        <f t="shared" si="5"/>
        <v>20.042745697592999</v>
      </c>
    </row>
    <row r="21" spans="1:9" x14ac:dyDescent="0.25">
      <c r="A21" s="54">
        <f t="shared" si="6"/>
        <v>34</v>
      </c>
      <c r="B21" s="55">
        <f t="shared" si="1"/>
        <v>65.904673746421139</v>
      </c>
      <c r="C21" s="56">
        <f t="shared" si="2"/>
        <v>-45.86192804882814</v>
      </c>
      <c r="D21" s="56">
        <f t="shared" si="3"/>
        <v>0</v>
      </c>
      <c r="E21" s="56">
        <f t="shared" si="4"/>
        <v>0</v>
      </c>
      <c r="F21" s="175">
        <f t="shared" si="5"/>
        <v>20.042745697592999</v>
      </c>
    </row>
    <row r="22" spans="1:9" x14ac:dyDescent="0.25">
      <c r="A22" s="54">
        <f t="shared" si="6"/>
        <v>36</v>
      </c>
      <c r="B22" s="55">
        <f t="shared" si="1"/>
        <v>63.904673746421139</v>
      </c>
      <c r="C22" s="56">
        <f t="shared" si="2"/>
        <v>-43.86192804882814</v>
      </c>
      <c r="D22" s="56">
        <f t="shared" si="3"/>
        <v>0</v>
      </c>
      <c r="E22" s="56">
        <f t="shared" si="4"/>
        <v>0</v>
      </c>
      <c r="F22" s="175">
        <f t="shared" si="5"/>
        <v>20.042745697592999</v>
      </c>
    </row>
    <row r="23" spans="1:9" x14ac:dyDescent="0.25">
      <c r="A23" s="54">
        <f t="shared" si="6"/>
        <v>38</v>
      </c>
      <c r="B23" s="55">
        <f t="shared" si="1"/>
        <v>61.904673746421139</v>
      </c>
      <c r="C23" s="56">
        <f t="shared" si="2"/>
        <v>-41.86192804882814</v>
      </c>
      <c r="D23" s="56">
        <f t="shared" si="3"/>
        <v>0</v>
      </c>
      <c r="E23" s="56">
        <f t="shared" si="4"/>
        <v>0</v>
      </c>
      <c r="F23" s="175">
        <f t="shared" si="5"/>
        <v>20.042745697592999</v>
      </c>
    </row>
    <row r="24" spans="1:9" x14ac:dyDescent="0.25">
      <c r="A24" s="54">
        <f t="shared" si="6"/>
        <v>40</v>
      </c>
      <c r="B24" s="55">
        <f t="shared" si="1"/>
        <v>59.904673746421139</v>
      </c>
      <c r="C24" s="56">
        <f t="shared" si="2"/>
        <v>-39.86192804882814</v>
      </c>
      <c r="D24" s="56">
        <f t="shared" si="3"/>
        <v>0</v>
      </c>
      <c r="E24" s="56">
        <f t="shared" si="4"/>
        <v>0</v>
      </c>
      <c r="F24" s="175">
        <f t="shared" si="5"/>
        <v>20.042745697592999</v>
      </c>
    </row>
    <row r="25" spans="1:9" x14ac:dyDescent="0.25">
      <c r="A25" s="54">
        <f t="shared" si="6"/>
        <v>42</v>
      </c>
      <c r="B25" s="55">
        <f t="shared" si="1"/>
        <v>57.904673746421139</v>
      </c>
      <c r="C25" s="56">
        <f t="shared" si="2"/>
        <v>-37.86192804882814</v>
      </c>
      <c r="D25" s="56">
        <f t="shared" si="3"/>
        <v>0</v>
      </c>
      <c r="E25" s="56">
        <f t="shared" si="4"/>
        <v>0</v>
      </c>
      <c r="F25" s="175">
        <f t="shared" si="5"/>
        <v>20.042745697592999</v>
      </c>
      <c r="I25" s="63"/>
    </row>
    <row r="26" spans="1:9" x14ac:dyDescent="0.25">
      <c r="A26" s="54">
        <f t="shared" si="6"/>
        <v>44</v>
      </c>
      <c r="B26" s="55">
        <f t="shared" si="1"/>
        <v>55.904673746421139</v>
      </c>
      <c r="C26" s="56">
        <f t="shared" si="2"/>
        <v>-35.86192804882814</v>
      </c>
      <c r="D26" s="56">
        <f t="shared" si="3"/>
        <v>0</v>
      </c>
      <c r="E26" s="56">
        <f t="shared" si="4"/>
        <v>0</v>
      </c>
      <c r="F26" s="175">
        <f t="shared" si="5"/>
        <v>20.042745697592999</v>
      </c>
    </row>
    <row r="27" spans="1:9" x14ac:dyDescent="0.25">
      <c r="A27" s="54">
        <f t="shared" si="6"/>
        <v>46</v>
      </c>
      <c r="B27" s="55">
        <f t="shared" si="1"/>
        <v>53.904673746421139</v>
      </c>
      <c r="C27" s="56">
        <f t="shared" si="2"/>
        <v>-33.86192804882814</v>
      </c>
      <c r="D27" s="56">
        <f t="shared" si="3"/>
        <v>0</v>
      </c>
      <c r="E27" s="56">
        <f t="shared" si="4"/>
        <v>0</v>
      </c>
      <c r="F27" s="175">
        <f t="shared" si="5"/>
        <v>20.042745697592999</v>
      </c>
    </row>
    <row r="28" spans="1:9" x14ac:dyDescent="0.25">
      <c r="A28" s="54">
        <f t="shared" si="6"/>
        <v>48</v>
      </c>
      <c r="B28" s="55">
        <f t="shared" si="1"/>
        <v>51.904673746421139</v>
      </c>
      <c r="C28" s="56">
        <f t="shared" si="2"/>
        <v>-31.861928048828137</v>
      </c>
      <c r="D28" s="56">
        <f t="shared" si="3"/>
        <v>0</v>
      </c>
      <c r="E28" s="56">
        <f t="shared" si="4"/>
        <v>0</v>
      </c>
      <c r="F28" s="175">
        <f t="shared" si="5"/>
        <v>20.042745697593002</v>
      </c>
    </row>
    <row r="29" spans="1:9" x14ac:dyDescent="0.25">
      <c r="A29" s="54">
        <f t="shared" si="6"/>
        <v>50</v>
      </c>
      <c r="B29" s="55">
        <f t="shared" si="1"/>
        <v>49.904673746421139</v>
      </c>
      <c r="C29" s="56">
        <f t="shared" si="2"/>
        <v>-29.861928048828137</v>
      </c>
      <c r="D29" s="56">
        <f t="shared" si="3"/>
        <v>0</v>
      </c>
      <c r="E29" s="56">
        <f t="shared" si="4"/>
        <v>0</v>
      </c>
      <c r="F29" s="175">
        <f t="shared" si="5"/>
        <v>20.042745697593002</v>
      </c>
    </row>
    <row r="30" spans="1:9" x14ac:dyDescent="0.25">
      <c r="A30" s="54">
        <f t="shared" si="6"/>
        <v>52</v>
      </c>
      <c r="B30" s="55">
        <f t="shared" si="1"/>
        <v>47.904673746421139</v>
      </c>
      <c r="C30" s="56">
        <f t="shared" si="2"/>
        <v>-27.861928048828137</v>
      </c>
      <c r="D30" s="56">
        <f t="shared" si="3"/>
        <v>0</v>
      </c>
      <c r="E30" s="56">
        <f t="shared" si="4"/>
        <v>0</v>
      </c>
      <c r="F30" s="175">
        <f t="shared" si="5"/>
        <v>20.042745697593002</v>
      </c>
    </row>
    <row r="31" spans="1:9" x14ac:dyDescent="0.25">
      <c r="A31" s="54">
        <f t="shared" si="6"/>
        <v>54</v>
      </c>
      <c r="B31" s="55">
        <f t="shared" si="1"/>
        <v>45.904673746421139</v>
      </c>
      <c r="C31" s="56">
        <f t="shared" si="2"/>
        <v>-25.861928048828137</v>
      </c>
      <c r="D31" s="56">
        <f t="shared" si="3"/>
        <v>0</v>
      </c>
      <c r="E31" s="56">
        <f t="shared" si="4"/>
        <v>0</v>
      </c>
      <c r="F31" s="175">
        <f t="shared" si="5"/>
        <v>20.042745697593002</v>
      </c>
    </row>
    <row r="32" spans="1:9" x14ac:dyDescent="0.25">
      <c r="A32" s="54">
        <f t="shared" si="6"/>
        <v>56</v>
      </c>
      <c r="B32" s="55">
        <f t="shared" si="1"/>
        <v>43.904673746421139</v>
      </c>
      <c r="C32" s="56">
        <f t="shared" si="2"/>
        <v>-23.861928048828137</v>
      </c>
      <c r="D32" s="56">
        <f t="shared" si="3"/>
        <v>0</v>
      </c>
      <c r="E32" s="56">
        <f t="shared" si="4"/>
        <v>0</v>
      </c>
      <c r="F32" s="175">
        <f t="shared" si="5"/>
        <v>20.042745697593002</v>
      </c>
    </row>
    <row r="33" spans="1:6" x14ac:dyDescent="0.25">
      <c r="A33" s="54">
        <f t="shared" si="6"/>
        <v>58</v>
      </c>
      <c r="B33" s="55">
        <f t="shared" si="1"/>
        <v>41.904673746421139</v>
      </c>
      <c r="C33" s="56">
        <f t="shared" si="2"/>
        <v>-21.861928048828137</v>
      </c>
      <c r="D33" s="56">
        <f t="shared" si="3"/>
        <v>0</v>
      </c>
      <c r="E33" s="56">
        <f t="shared" si="4"/>
        <v>0</v>
      </c>
      <c r="F33" s="175">
        <f t="shared" si="5"/>
        <v>20.042745697593002</v>
      </c>
    </row>
    <row r="34" spans="1:6" x14ac:dyDescent="0.25">
      <c r="A34" s="54">
        <f t="shared" si="6"/>
        <v>60</v>
      </c>
      <c r="B34" s="55">
        <f t="shared" si="1"/>
        <v>39.904673746421139</v>
      </c>
      <c r="C34" s="56">
        <f t="shared" si="2"/>
        <v>-19.861928048828137</v>
      </c>
      <c r="D34" s="56">
        <f t="shared" si="3"/>
        <v>0</v>
      </c>
      <c r="E34" s="56">
        <f t="shared" si="4"/>
        <v>0</v>
      </c>
      <c r="F34" s="175">
        <f t="shared" si="5"/>
        <v>20.042745697593002</v>
      </c>
    </row>
    <row r="35" spans="1:6" x14ac:dyDescent="0.25">
      <c r="A35" s="54">
        <f t="shared" si="6"/>
        <v>62</v>
      </c>
      <c r="B35" s="55">
        <f t="shared" si="1"/>
        <v>37.904673746421139</v>
      </c>
      <c r="C35" s="56">
        <f t="shared" si="2"/>
        <v>-17.861928048828137</v>
      </c>
      <c r="D35" s="56">
        <f t="shared" si="3"/>
        <v>0</v>
      </c>
      <c r="E35" s="56">
        <f t="shared" si="4"/>
        <v>0</v>
      </c>
      <c r="F35" s="175">
        <f t="shared" si="5"/>
        <v>20.042745697593002</v>
      </c>
    </row>
    <row r="36" spans="1:6" x14ac:dyDescent="0.25">
      <c r="A36" s="54">
        <f t="shared" si="6"/>
        <v>64</v>
      </c>
      <c r="B36" s="55">
        <f t="shared" si="1"/>
        <v>35.904673746421139</v>
      </c>
      <c r="C36" s="56">
        <f t="shared" si="2"/>
        <v>-15.861928048828139</v>
      </c>
      <c r="D36" s="56">
        <f t="shared" si="3"/>
        <v>0</v>
      </c>
      <c r="E36" s="56">
        <f t="shared" si="4"/>
        <v>0</v>
      </c>
      <c r="F36" s="175">
        <f t="shared" si="5"/>
        <v>20.042745697592999</v>
      </c>
    </row>
    <row r="37" spans="1:6" x14ac:dyDescent="0.25">
      <c r="A37" s="54">
        <f t="shared" si="6"/>
        <v>66</v>
      </c>
      <c r="B37" s="55">
        <f t="shared" si="1"/>
        <v>33.904673746421139</v>
      </c>
      <c r="C37" s="56">
        <f t="shared" si="2"/>
        <v>-13.861928048828139</v>
      </c>
      <c r="D37" s="56">
        <f t="shared" si="3"/>
        <v>0</v>
      </c>
      <c r="E37" s="56">
        <f t="shared" si="4"/>
        <v>0</v>
      </c>
      <c r="F37" s="175">
        <f t="shared" si="5"/>
        <v>20.042745697592999</v>
      </c>
    </row>
    <row r="38" spans="1:6" x14ac:dyDescent="0.25">
      <c r="A38" s="54">
        <f t="shared" si="6"/>
        <v>68</v>
      </c>
      <c r="B38" s="55">
        <f t="shared" si="1"/>
        <v>31.904673746421135</v>
      </c>
      <c r="C38" s="56">
        <f t="shared" si="2"/>
        <v>-11.861928048828139</v>
      </c>
      <c r="D38" s="56">
        <f t="shared" si="3"/>
        <v>0</v>
      </c>
      <c r="E38" s="56">
        <f t="shared" si="4"/>
        <v>0</v>
      </c>
      <c r="F38" s="175">
        <f t="shared" si="5"/>
        <v>20.042745697592999</v>
      </c>
    </row>
    <row r="39" spans="1:6" x14ac:dyDescent="0.25">
      <c r="A39" s="54">
        <f t="shared" si="6"/>
        <v>70</v>
      </c>
      <c r="B39" s="55">
        <f t="shared" si="1"/>
        <v>29.904673746421135</v>
      </c>
      <c r="C39" s="56">
        <f t="shared" si="2"/>
        <v>-9.8619280488281387</v>
      </c>
      <c r="D39" s="56">
        <f t="shared" si="3"/>
        <v>0</v>
      </c>
      <c r="E39" s="56">
        <f t="shared" si="4"/>
        <v>0</v>
      </c>
      <c r="F39" s="175">
        <f t="shared" si="5"/>
        <v>20.042745697592999</v>
      </c>
    </row>
    <row r="40" spans="1:6" x14ac:dyDescent="0.25">
      <c r="A40" s="54">
        <f t="shared" si="6"/>
        <v>72</v>
      </c>
      <c r="B40" s="55">
        <f t="shared" si="1"/>
        <v>27.904673746421135</v>
      </c>
      <c r="C40" s="56">
        <f t="shared" si="2"/>
        <v>-7.8619280488281378</v>
      </c>
      <c r="D40" s="56">
        <f t="shared" si="3"/>
        <v>0</v>
      </c>
      <c r="E40" s="56">
        <f t="shared" si="4"/>
        <v>0</v>
      </c>
      <c r="F40" s="175">
        <f t="shared" si="5"/>
        <v>20.042745697592999</v>
      </c>
    </row>
    <row r="41" spans="1:6" x14ac:dyDescent="0.25">
      <c r="A41" s="54">
        <f t="shared" si="6"/>
        <v>74</v>
      </c>
      <c r="B41" s="55">
        <f t="shared" si="1"/>
        <v>25.904673746421135</v>
      </c>
      <c r="C41" s="56">
        <f t="shared" si="2"/>
        <v>-5.8619280488281378</v>
      </c>
      <c r="D41" s="56">
        <f t="shared" si="3"/>
        <v>0</v>
      </c>
      <c r="E41" s="56">
        <f t="shared" si="4"/>
        <v>0</v>
      </c>
      <c r="F41" s="175">
        <f t="shared" si="5"/>
        <v>20.042745697592999</v>
      </c>
    </row>
    <row r="42" spans="1:6" x14ac:dyDescent="0.25">
      <c r="A42" s="54">
        <f t="shared" si="6"/>
        <v>76</v>
      </c>
      <c r="B42" s="55">
        <f t="shared" si="1"/>
        <v>23.904673746421135</v>
      </c>
      <c r="C42" s="56">
        <f t="shared" si="2"/>
        <v>-3.8619280488281378</v>
      </c>
      <c r="D42" s="56">
        <f t="shared" si="3"/>
        <v>0</v>
      </c>
      <c r="E42" s="56">
        <f t="shared" si="4"/>
        <v>0</v>
      </c>
      <c r="F42" s="175">
        <f t="shared" si="5"/>
        <v>20.042745697592999</v>
      </c>
    </row>
    <row r="43" spans="1:6" x14ac:dyDescent="0.25">
      <c r="A43" s="54">
        <f t="shared" si="6"/>
        <v>78</v>
      </c>
      <c r="B43" s="55">
        <f t="shared" si="1"/>
        <v>21.904673746421135</v>
      </c>
      <c r="C43" s="56">
        <f t="shared" si="2"/>
        <v>-1.8619280488281378</v>
      </c>
      <c r="D43" s="56">
        <f t="shared" si="3"/>
        <v>0</v>
      </c>
      <c r="E43" s="56">
        <f t="shared" si="4"/>
        <v>0</v>
      </c>
      <c r="F43" s="175">
        <f t="shared" si="5"/>
        <v>20.042745697592999</v>
      </c>
    </row>
    <row r="44" spans="1:6" x14ac:dyDescent="0.25">
      <c r="A44" s="54">
        <f t="shared" si="6"/>
        <v>80</v>
      </c>
      <c r="B44" s="55">
        <f t="shared" si="1"/>
        <v>19.904673746421135</v>
      </c>
      <c r="C44" s="56">
        <f t="shared" si="2"/>
        <v>0.13807195117186219</v>
      </c>
      <c r="D44" s="56">
        <f t="shared" si="3"/>
        <v>0</v>
      </c>
      <c r="E44" s="56">
        <f t="shared" si="4"/>
        <v>0</v>
      </c>
      <c r="F44" s="175">
        <f t="shared" si="5"/>
        <v>20.042745697592999</v>
      </c>
    </row>
    <row r="45" spans="1:6" x14ac:dyDescent="0.25">
      <c r="A45" s="54">
        <f t="shared" si="6"/>
        <v>82</v>
      </c>
      <c r="B45" s="55">
        <f t="shared" si="1"/>
        <v>17.904673746421135</v>
      </c>
      <c r="C45" s="56">
        <f t="shared" si="2"/>
        <v>0.13807195117186219</v>
      </c>
      <c r="D45" s="56">
        <f t="shared" si="3"/>
        <v>0</v>
      </c>
      <c r="E45" s="56">
        <f t="shared" si="4"/>
        <v>0</v>
      </c>
      <c r="F45" s="175">
        <f t="shared" si="5"/>
        <v>18.042745697592999</v>
      </c>
    </row>
    <row r="46" spans="1:6" x14ac:dyDescent="0.25">
      <c r="A46" s="54">
        <f t="shared" si="6"/>
        <v>84</v>
      </c>
      <c r="B46" s="55">
        <f t="shared" si="1"/>
        <v>15.904673746421135</v>
      </c>
      <c r="C46" s="56">
        <f t="shared" si="2"/>
        <v>0.13807195117186219</v>
      </c>
      <c r="D46" s="56">
        <f t="shared" si="3"/>
        <v>0</v>
      </c>
      <c r="E46" s="56">
        <f t="shared" si="4"/>
        <v>0</v>
      </c>
      <c r="F46" s="175">
        <f t="shared" si="5"/>
        <v>16.042745697592999</v>
      </c>
    </row>
    <row r="47" spans="1:6" x14ac:dyDescent="0.25">
      <c r="A47" s="54">
        <f t="shared" si="6"/>
        <v>86</v>
      </c>
      <c r="B47" s="55">
        <f t="shared" si="1"/>
        <v>13.904673746421135</v>
      </c>
      <c r="C47" s="56">
        <f t="shared" si="2"/>
        <v>0.13807195117186219</v>
      </c>
      <c r="D47" s="56">
        <f t="shared" si="3"/>
        <v>0</v>
      </c>
      <c r="E47" s="56">
        <f t="shared" si="4"/>
        <v>0</v>
      </c>
      <c r="F47" s="175">
        <f t="shared" si="5"/>
        <v>14.042745697592997</v>
      </c>
    </row>
    <row r="48" spans="1:6" x14ac:dyDescent="0.25">
      <c r="A48" s="54">
        <f t="shared" si="6"/>
        <v>88</v>
      </c>
      <c r="B48" s="55">
        <f t="shared" si="1"/>
        <v>11.904673746421135</v>
      </c>
      <c r="C48" s="56">
        <f t="shared" si="2"/>
        <v>0.13807195117186219</v>
      </c>
      <c r="D48" s="56">
        <f t="shared" si="3"/>
        <v>0</v>
      </c>
      <c r="E48" s="56">
        <f t="shared" si="4"/>
        <v>0</v>
      </c>
      <c r="F48" s="175">
        <f t="shared" si="5"/>
        <v>12.042745697592997</v>
      </c>
    </row>
    <row r="49" spans="1:6" x14ac:dyDescent="0.25">
      <c r="A49" s="54">
        <f t="shared" si="6"/>
        <v>90</v>
      </c>
      <c r="B49" s="55">
        <f t="shared" si="1"/>
        <v>9.9046737464211354</v>
      </c>
      <c r="C49" s="56">
        <f t="shared" si="2"/>
        <v>0.13807195117186219</v>
      </c>
      <c r="D49" s="56">
        <f t="shared" si="3"/>
        <v>0</v>
      </c>
      <c r="E49" s="56">
        <f t="shared" si="4"/>
        <v>0</v>
      </c>
      <c r="F49" s="175">
        <f t="shared" si="5"/>
        <v>10.042745697592997</v>
      </c>
    </row>
    <row r="50" spans="1:6" x14ac:dyDescent="0.25">
      <c r="A50" s="54">
        <f t="shared" si="6"/>
        <v>92</v>
      </c>
      <c r="B50" s="55">
        <f t="shared" si="1"/>
        <v>7.9046737464211354</v>
      </c>
      <c r="C50" s="56">
        <f t="shared" si="2"/>
        <v>0.13807195117186219</v>
      </c>
      <c r="D50" s="56">
        <f t="shared" si="3"/>
        <v>0</v>
      </c>
      <c r="E50" s="56">
        <f t="shared" si="4"/>
        <v>0</v>
      </c>
      <c r="F50" s="175">
        <f t="shared" si="5"/>
        <v>8.0427456975929967</v>
      </c>
    </row>
    <row r="51" spans="1:6" x14ac:dyDescent="0.25">
      <c r="A51" s="54">
        <f t="shared" si="6"/>
        <v>94</v>
      </c>
      <c r="B51" s="55">
        <f t="shared" si="1"/>
        <v>5.9046737464211354</v>
      </c>
      <c r="C51" s="56">
        <f t="shared" si="2"/>
        <v>0.13807195117186219</v>
      </c>
      <c r="D51" s="56">
        <f t="shared" si="3"/>
        <v>0</v>
      </c>
      <c r="E51" s="56">
        <f t="shared" si="4"/>
        <v>0</v>
      </c>
      <c r="F51" s="175">
        <f t="shared" si="5"/>
        <v>6.0427456975929976</v>
      </c>
    </row>
    <row r="52" spans="1:6" x14ac:dyDescent="0.25">
      <c r="A52" s="54">
        <f t="shared" si="6"/>
        <v>96</v>
      </c>
      <c r="B52" s="55">
        <f t="shared" si="1"/>
        <v>3.9046737464211354</v>
      </c>
      <c r="C52" s="56">
        <f t="shared" si="2"/>
        <v>0.13807195117186219</v>
      </c>
      <c r="D52" s="56">
        <f t="shared" si="3"/>
        <v>0</v>
      </c>
      <c r="E52" s="56">
        <f t="shared" si="4"/>
        <v>0</v>
      </c>
      <c r="F52" s="175">
        <f t="shared" si="5"/>
        <v>4.0427456975929976</v>
      </c>
    </row>
    <row r="53" spans="1:6" x14ac:dyDescent="0.25">
      <c r="A53" s="54">
        <f t="shared" si="6"/>
        <v>98</v>
      </c>
      <c r="B53" s="55">
        <f t="shared" si="1"/>
        <v>1.9046737464211354</v>
      </c>
      <c r="C53" s="56">
        <f t="shared" si="2"/>
        <v>0.13807195117186219</v>
      </c>
      <c r="D53" s="56">
        <f t="shared" si="3"/>
        <v>0</v>
      </c>
      <c r="E53" s="56">
        <f t="shared" si="4"/>
        <v>0</v>
      </c>
      <c r="F53" s="175">
        <f t="shared" si="5"/>
        <v>2.0427456975929976</v>
      </c>
    </row>
    <row r="54" spans="1:6" x14ac:dyDescent="0.25">
      <c r="A54" s="54">
        <f t="shared" si="6"/>
        <v>100</v>
      </c>
      <c r="B54" s="55">
        <f t="shared" si="1"/>
        <v>-9.5326253578864595E-2</v>
      </c>
      <c r="C54" s="56">
        <f t="shared" si="2"/>
        <v>0.13807195117186219</v>
      </c>
      <c r="D54" s="56">
        <f t="shared" si="3"/>
        <v>0</v>
      </c>
      <c r="E54" s="56">
        <f t="shared" si="4"/>
        <v>0</v>
      </c>
      <c r="F54" s="175">
        <f t="shared" si="5"/>
        <v>4.2745697592997595E-2</v>
      </c>
    </row>
    <row r="55" spans="1:6" x14ac:dyDescent="0.25">
      <c r="A55" s="54">
        <f t="shared" si="6"/>
        <v>102</v>
      </c>
      <c r="B55" s="55">
        <f t="shared" si="1"/>
        <v>-2.0953262535788646</v>
      </c>
      <c r="C55" s="56">
        <f t="shared" si="2"/>
        <v>0.13807195117186219</v>
      </c>
      <c r="D55" s="56">
        <f t="shared" si="3"/>
        <v>0</v>
      </c>
      <c r="E55" s="56">
        <f t="shared" si="4"/>
        <v>0</v>
      </c>
      <c r="F55" s="175">
        <f t="shared" si="5"/>
        <v>-1.9572543024070024</v>
      </c>
    </row>
    <row r="56" spans="1:6" x14ac:dyDescent="0.25">
      <c r="A56" s="54">
        <f t="shared" si="6"/>
        <v>104</v>
      </c>
      <c r="B56" s="55">
        <f t="shared" si="1"/>
        <v>-4.0953262535788646</v>
      </c>
      <c r="C56" s="56">
        <f t="shared" si="2"/>
        <v>0.13807195117186219</v>
      </c>
      <c r="D56" s="56">
        <f t="shared" si="3"/>
        <v>0</v>
      </c>
      <c r="E56" s="56">
        <f t="shared" si="4"/>
        <v>0</v>
      </c>
      <c r="F56" s="175">
        <f t="shared" si="5"/>
        <v>-3.9572543024070024</v>
      </c>
    </row>
    <row r="57" spans="1:6" x14ac:dyDescent="0.25">
      <c r="A57" s="54">
        <f t="shared" si="6"/>
        <v>106</v>
      </c>
      <c r="B57" s="55">
        <f t="shared" si="1"/>
        <v>-6.0953262535788646</v>
      </c>
      <c r="C57" s="56">
        <f t="shared" si="2"/>
        <v>0.13807195117186219</v>
      </c>
      <c r="D57" s="56">
        <f t="shared" si="3"/>
        <v>0</v>
      </c>
      <c r="E57" s="56">
        <f t="shared" si="4"/>
        <v>0</v>
      </c>
      <c r="F57" s="175">
        <f t="shared" si="5"/>
        <v>-5.9572543024070024</v>
      </c>
    </row>
    <row r="58" spans="1:6" x14ac:dyDescent="0.25">
      <c r="A58" s="54">
        <f t="shared" si="6"/>
        <v>108</v>
      </c>
      <c r="B58" s="55">
        <f t="shared" si="1"/>
        <v>-8.0953262535788646</v>
      </c>
      <c r="C58" s="56">
        <f t="shared" si="2"/>
        <v>0.13807195117186219</v>
      </c>
      <c r="D58" s="56">
        <f t="shared" si="3"/>
        <v>0</v>
      </c>
      <c r="E58" s="56">
        <f t="shared" si="4"/>
        <v>0</v>
      </c>
      <c r="F58" s="175">
        <f t="shared" si="5"/>
        <v>-7.9572543024070024</v>
      </c>
    </row>
    <row r="59" spans="1:6" x14ac:dyDescent="0.25">
      <c r="A59" s="54">
        <f t="shared" si="6"/>
        <v>110</v>
      </c>
      <c r="B59" s="55">
        <f t="shared" si="1"/>
        <v>-10.095326253578865</v>
      </c>
      <c r="C59" s="56">
        <f t="shared" si="2"/>
        <v>0.13807195117186219</v>
      </c>
      <c r="D59" s="56">
        <f t="shared" si="3"/>
        <v>0</v>
      </c>
      <c r="E59" s="56">
        <f t="shared" si="4"/>
        <v>0</v>
      </c>
      <c r="F59" s="175">
        <f t="shared" si="5"/>
        <v>-9.9572543024070033</v>
      </c>
    </row>
    <row r="60" spans="1:6" x14ac:dyDescent="0.25">
      <c r="A60" s="54">
        <f t="shared" si="6"/>
        <v>112</v>
      </c>
      <c r="B60" s="55">
        <f t="shared" si="1"/>
        <v>-12.095326253578865</v>
      </c>
      <c r="C60" s="56">
        <f t="shared" si="2"/>
        <v>0.13807195117186219</v>
      </c>
      <c r="D60" s="56">
        <f t="shared" si="3"/>
        <v>0</v>
      </c>
      <c r="E60" s="56">
        <f t="shared" si="4"/>
        <v>0</v>
      </c>
      <c r="F60" s="175">
        <f t="shared" si="5"/>
        <v>-11.957254302407003</v>
      </c>
    </row>
    <row r="61" spans="1:6" x14ac:dyDescent="0.25">
      <c r="A61" s="54">
        <f t="shared" si="6"/>
        <v>114</v>
      </c>
      <c r="B61" s="55">
        <f t="shared" si="1"/>
        <v>-14.095326253578865</v>
      </c>
      <c r="C61" s="56">
        <f t="shared" si="2"/>
        <v>0.13807195117186219</v>
      </c>
      <c r="D61" s="56">
        <f t="shared" si="3"/>
        <v>0</v>
      </c>
      <c r="E61" s="56">
        <f t="shared" si="4"/>
        <v>0</v>
      </c>
      <c r="F61" s="175">
        <f t="shared" si="5"/>
        <v>-13.957254302407003</v>
      </c>
    </row>
    <row r="62" spans="1:6" x14ac:dyDescent="0.25">
      <c r="A62" s="54">
        <f t="shared" si="6"/>
        <v>116</v>
      </c>
      <c r="B62" s="55">
        <f t="shared" si="1"/>
        <v>-16.095326253578865</v>
      </c>
      <c r="C62" s="56">
        <f t="shared" si="2"/>
        <v>0.13807195117186219</v>
      </c>
      <c r="D62" s="56">
        <f t="shared" si="3"/>
        <v>0</v>
      </c>
      <c r="E62" s="56">
        <f t="shared" si="4"/>
        <v>0</v>
      </c>
      <c r="F62" s="175">
        <f t="shared" si="5"/>
        <v>-15.957254302407003</v>
      </c>
    </row>
    <row r="63" spans="1:6" x14ac:dyDescent="0.25">
      <c r="A63" s="54">
        <f t="shared" si="6"/>
        <v>118</v>
      </c>
      <c r="B63" s="55">
        <f t="shared" si="1"/>
        <v>-18.095326253578865</v>
      </c>
      <c r="C63" s="56">
        <f t="shared" si="2"/>
        <v>0.13807195117186219</v>
      </c>
      <c r="D63" s="56">
        <f t="shared" si="3"/>
        <v>0</v>
      </c>
      <c r="E63" s="56">
        <f t="shared" si="4"/>
        <v>0</v>
      </c>
      <c r="F63" s="175">
        <f t="shared" si="5"/>
        <v>-17.957254302407001</v>
      </c>
    </row>
    <row r="64" spans="1:6" x14ac:dyDescent="0.25">
      <c r="A64" s="54">
        <f t="shared" si="6"/>
        <v>120</v>
      </c>
      <c r="B64" s="55">
        <f t="shared" si="1"/>
        <v>-20.095326253578865</v>
      </c>
      <c r="C64" s="56">
        <f t="shared" si="2"/>
        <v>0.13807195117186219</v>
      </c>
      <c r="D64" s="56">
        <f t="shared" si="3"/>
        <v>0</v>
      </c>
      <c r="E64" s="56">
        <f t="shared" si="4"/>
        <v>0</v>
      </c>
      <c r="F64" s="175">
        <f t="shared" si="5"/>
        <v>-19.957254302407001</v>
      </c>
    </row>
    <row r="65" spans="1:6" x14ac:dyDescent="0.25">
      <c r="A65" s="54">
        <f t="shared" si="6"/>
        <v>122</v>
      </c>
      <c r="B65" s="55">
        <f t="shared" si="1"/>
        <v>-20.095326253578865</v>
      </c>
      <c r="C65" s="56">
        <f t="shared" si="2"/>
        <v>0.13807195117186219</v>
      </c>
      <c r="D65" s="56">
        <f t="shared" si="3"/>
        <v>0</v>
      </c>
      <c r="E65" s="56">
        <f t="shared" si="4"/>
        <v>0</v>
      </c>
      <c r="F65" s="175">
        <f t="shared" si="5"/>
        <v>-19.957254302407001</v>
      </c>
    </row>
    <row r="66" spans="1:6" x14ac:dyDescent="0.25">
      <c r="A66" s="54">
        <f t="shared" si="6"/>
        <v>124</v>
      </c>
      <c r="B66" s="55">
        <f t="shared" si="1"/>
        <v>-20.095326253578865</v>
      </c>
      <c r="C66" s="56">
        <f t="shared" si="2"/>
        <v>0.13807195117186219</v>
      </c>
      <c r="D66" s="56">
        <f t="shared" si="3"/>
        <v>0</v>
      </c>
      <c r="E66" s="56">
        <f t="shared" si="4"/>
        <v>0</v>
      </c>
      <c r="F66" s="175">
        <f t="shared" si="5"/>
        <v>-19.957254302407001</v>
      </c>
    </row>
    <row r="67" spans="1:6" x14ac:dyDescent="0.25">
      <c r="A67" s="54">
        <f t="shared" si="6"/>
        <v>126</v>
      </c>
      <c r="B67" s="55">
        <f t="shared" si="1"/>
        <v>-20.095326253578865</v>
      </c>
      <c r="C67" s="56">
        <f t="shared" si="2"/>
        <v>0.13807195117186219</v>
      </c>
      <c r="D67" s="56">
        <f t="shared" si="3"/>
        <v>0</v>
      </c>
      <c r="E67" s="56">
        <f t="shared" si="4"/>
        <v>0</v>
      </c>
      <c r="F67" s="175">
        <f t="shared" si="5"/>
        <v>-19.957254302407001</v>
      </c>
    </row>
    <row r="68" spans="1:6" x14ac:dyDescent="0.25">
      <c r="A68" s="54">
        <f t="shared" si="6"/>
        <v>128</v>
      </c>
      <c r="B68" s="55">
        <f t="shared" si="1"/>
        <v>-20.095326253578865</v>
      </c>
      <c r="C68" s="56">
        <f t="shared" si="2"/>
        <v>0.13807195117186219</v>
      </c>
      <c r="D68" s="56">
        <f t="shared" si="3"/>
        <v>0</v>
      </c>
      <c r="E68" s="56">
        <f t="shared" si="4"/>
        <v>0</v>
      </c>
      <c r="F68" s="175">
        <f t="shared" si="5"/>
        <v>-19.957254302407001</v>
      </c>
    </row>
    <row r="69" spans="1:6" x14ac:dyDescent="0.25">
      <c r="A69" s="54">
        <f t="shared" si="6"/>
        <v>130</v>
      </c>
      <c r="B69" s="55">
        <f t="shared" ref="B69:B104" si="7">(MAX(IF($B$1="C",1,-1)*(A69-$K$5),0)-IF($K$10="Y",$K$13*EXP($K$6*$K$9),0))*$K$4</f>
        <v>-20.095326253578865</v>
      </c>
      <c r="C69" s="56">
        <f t="shared" ref="C69:C104" si="8">(MAX(IF($C$1="C",1,-1)*(A69-$L$5),0)-IF($K$10="Y",$L$13*EXP($K$6*$K$9),0))*$L$4</f>
        <v>0.13807195117186219</v>
      </c>
      <c r="D69" s="56">
        <f t="shared" ref="D69:D104" si="9">(MAX(IF($D$1="C",1,-1)*(A69-$M$5),0)-IF($K$10="Y",$M$13*EXP($K$6*$K$9),0))*$M$4</f>
        <v>0</v>
      </c>
      <c r="E69" s="56">
        <f t="shared" ref="E69:E104" si="10">(MAX(IF($E$1="C",1,-1)*(A69-$N$5),0)-IF($K$10="Y",$N$13*EXP($K$6*$K$9),0))*$N$4</f>
        <v>0</v>
      </c>
      <c r="F69" s="175">
        <f t="shared" ref="F69:F104" si="11">SUM(B69:E69)</f>
        <v>-19.957254302407001</v>
      </c>
    </row>
    <row r="70" spans="1:6" x14ac:dyDescent="0.25">
      <c r="A70" s="54">
        <f t="shared" ref="A70:A104" si="12">A69+2</f>
        <v>132</v>
      </c>
      <c r="B70" s="55">
        <f t="shared" si="7"/>
        <v>-20.095326253578865</v>
      </c>
      <c r="C70" s="56">
        <f t="shared" si="8"/>
        <v>0.13807195117186219</v>
      </c>
      <c r="D70" s="56">
        <f t="shared" si="9"/>
        <v>0</v>
      </c>
      <c r="E70" s="56">
        <f t="shared" si="10"/>
        <v>0</v>
      </c>
      <c r="F70" s="175">
        <f t="shared" si="11"/>
        <v>-19.957254302407001</v>
      </c>
    </row>
    <row r="71" spans="1:6" x14ac:dyDescent="0.25">
      <c r="A71" s="54">
        <f t="shared" si="12"/>
        <v>134</v>
      </c>
      <c r="B71" s="55">
        <f t="shared" si="7"/>
        <v>-20.095326253578865</v>
      </c>
      <c r="C71" s="56">
        <f t="shared" si="8"/>
        <v>0.13807195117186219</v>
      </c>
      <c r="D71" s="56">
        <f t="shared" si="9"/>
        <v>0</v>
      </c>
      <c r="E71" s="56">
        <f t="shared" si="10"/>
        <v>0</v>
      </c>
      <c r="F71" s="175">
        <f t="shared" si="11"/>
        <v>-19.957254302407001</v>
      </c>
    </row>
    <row r="72" spans="1:6" x14ac:dyDescent="0.25">
      <c r="A72" s="54">
        <f t="shared" si="12"/>
        <v>136</v>
      </c>
      <c r="B72" s="55">
        <f t="shared" si="7"/>
        <v>-20.095326253578865</v>
      </c>
      <c r="C72" s="56">
        <f t="shared" si="8"/>
        <v>0.13807195117186219</v>
      </c>
      <c r="D72" s="56">
        <f t="shared" si="9"/>
        <v>0</v>
      </c>
      <c r="E72" s="56">
        <f t="shared" si="10"/>
        <v>0</v>
      </c>
      <c r="F72" s="175">
        <f t="shared" si="11"/>
        <v>-19.957254302407001</v>
      </c>
    </row>
    <row r="73" spans="1:6" x14ac:dyDescent="0.25">
      <c r="A73" s="54">
        <f t="shared" si="12"/>
        <v>138</v>
      </c>
      <c r="B73" s="55">
        <f t="shared" si="7"/>
        <v>-20.095326253578865</v>
      </c>
      <c r="C73" s="56">
        <f t="shared" si="8"/>
        <v>0.13807195117186219</v>
      </c>
      <c r="D73" s="56">
        <f t="shared" si="9"/>
        <v>0</v>
      </c>
      <c r="E73" s="56">
        <f t="shared" si="10"/>
        <v>0</v>
      </c>
      <c r="F73" s="175">
        <f t="shared" si="11"/>
        <v>-19.957254302407001</v>
      </c>
    </row>
    <row r="74" spans="1:6" x14ac:dyDescent="0.25">
      <c r="A74" s="54">
        <f t="shared" si="12"/>
        <v>140</v>
      </c>
      <c r="B74" s="55">
        <f t="shared" si="7"/>
        <v>-20.095326253578865</v>
      </c>
      <c r="C74" s="56">
        <f t="shared" si="8"/>
        <v>0.13807195117186219</v>
      </c>
      <c r="D74" s="56">
        <f t="shared" si="9"/>
        <v>0</v>
      </c>
      <c r="E74" s="56">
        <f t="shared" si="10"/>
        <v>0</v>
      </c>
      <c r="F74" s="175">
        <f t="shared" si="11"/>
        <v>-19.957254302407001</v>
      </c>
    </row>
    <row r="75" spans="1:6" x14ac:dyDescent="0.25">
      <c r="A75" s="54">
        <f t="shared" si="12"/>
        <v>142</v>
      </c>
      <c r="B75" s="55">
        <f t="shared" si="7"/>
        <v>-20.095326253578865</v>
      </c>
      <c r="C75" s="56">
        <f t="shared" si="8"/>
        <v>0.13807195117186219</v>
      </c>
      <c r="D75" s="56">
        <f t="shared" si="9"/>
        <v>0</v>
      </c>
      <c r="E75" s="56">
        <f t="shared" si="10"/>
        <v>0</v>
      </c>
      <c r="F75" s="175">
        <f t="shared" si="11"/>
        <v>-19.957254302407001</v>
      </c>
    </row>
    <row r="76" spans="1:6" x14ac:dyDescent="0.25">
      <c r="A76" s="54">
        <f t="shared" si="12"/>
        <v>144</v>
      </c>
      <c r="B76" s="55">
        <f t="shared" si="7"/>
        <v>-20.095326253578865</v>
      </c>
      <c r="C76" s="56">
        <f t="shared" si="8"/>
        <v>0.13807195117186219</v>
      </c>
      <c r="D76" s="56">
        <f t="shared" si="9"/>
        <v>0</v>
      </c>
      <c r="E76" s="56">
        <f t="shared" si="10"/>
        <v>0</v>
      </c>
      <c r="F76" s="175">
        <f t="shared" si="11"/>
        <v>-19.957254302407001</v>
      </c>
    </row>
    <row r="77" spans="1:6" x14ac:dyDescent="0.25">
      <c r="A77" s="54">
        <f t="shared" si="12"/>
        <v>146</v>
      </c>
      <c r="B77" s="55">
        <f t="shared" si="7"/>
        <v>-20.095326253578865</v>
      </c>
      <c r="C77" s="56">
        <f t="shared" si="8"/>
        <v>0.13807195117186219</v>
      </c>
      <c r="D77" s="56">
        <f t="shared" si="9"/>
        <v>0</v>
      </c>
      <c r="E77" s="56">
        <f t="shared" si="10"/>
        <v>0</v>
      </c>
      <c r="F77" s="175">
        <f t="shared" si="11"/>
        <v>-19.957254302407001</v>
      </c>
    </row>
    <row r="78" spans="1:6" x14ac:dyDescent="0.25">
      <c r="A78" s="54">
        <f t="shared" si="12"/>
        <v>148</v>
      </c>
      <c r="B78" s="55">
        <f t="shared" si="7"/>
        <v>-20.095326253578865</v>
      </c>
      <c r="C78" s="56">
        <f t="shared" si="8"/>
        <v>0.13807195117186219</v>
      </c>
      <c r="D78" s="56">
        <f t="shared" si="9"/>
        <v>0</v>
      </c>
      <c r="E78" s="56">
        <f t="shared" si="10"/>
        <v>0</v>
      </c>
      <c r="F78" s="175">
        <f t="shared" si="11"/>
        <v>-19.957254302407001</v>
      </c>
    </row>
    <row r="79" spans="1:6" x14ac:dyDescent="0.25">
      <c r="A79" s="54">
        <f t="shared" si="12"/>
        <v>150</v>
      </c>
      <c r="B79" s="55">
        <f t="shared" si="7"/>
        <v>-20.095326253578865</v>
      </c>
      <c r="C79" s="56">
        <f t="shared" si="8"/>
        <v>0.13807195117186219</v>
      </c>
      <c r="D79" s="56">
        <f t="shared" si="9"/>
        <v>0</v>
      </c>
      <c r="E79" s="56">
        <f t="shared" si="10"/>
        <v>0</v>
      </c>
      <c r="F79" s="175">
        <f t="shared" si="11"/>
        <v>-19.957254302407001</v>
      </c>
    </row>
    <row r="80" spans="1:6" x14ac:dyDescent="0.25">
      <c r="A80" s="54">
        <f t="shared" si="12"/>
        <v>152</v>
      </c>
      <c r="B80" s="55">
        <f t="shared" si="7"/>
        <v>-20.095326253578865</v>
      </c>
      <c r="C80" s="56">
        <f t="shared" si="8"/>
        <v>0.13807195117186219</v>
      </c>
      <c r="D80" s="56">
        <f t="shared" si="9"/>
        <v>0</v>
      </c>
      <c r="E80" s="56">
        <f t="shared" si="10"/>
        <v>0</v>
      </c>
      <c r="F80" s="175">
        <f t="shared" si="11"/>
        <v>-19.957254302407001</v>
      </c>
    </row>
    <row r="81" spans="1:6" x14ac:dyDescent="0.25">
      <c r="A81" s="54">
        <f t="shared" si="12"/>
        <v>154</v>
      </c>
      <c r="B81" s="55">
        <f t="shared" si="7"/>
        <v>-20.095326253578865</v>
      </c>
      <c r="C81" s="56">
        <f t="shared" si="8"/>
        <v>0.13807195117186219</v>
      </c>
      <c r="D81" s="56">
        <f t="shared" si="9"/>
        <v>0</v>
      </c>
      <c r="E81" s="56">
        <f t="shared" si="10"/>
        <v>0</v>
      </c>
      <c r="F81" s="175">
        <f t="shared" si="11"/>
        <v>-19.957254302407001</v>
      </c>
    </row>
    <row r="82" spans="1:6" x14ac:dyDescent="0.25">
      <c r="A82" s="54">
        <f t="shared" si="12"/>
        <v>156</v>
      </c>
      <c r="B82" s="55">
        <f t="shared" si="7"/>
        <v>-20.095326253578865</v>
      </c>
      <c r="C82" s="56">
        <f t="shared" si="8"/>
        <v>0.13807195117186219</v>
      </c>
      <c r="D82" s="56">
        <f t="shared" si="9"/>
        <v>0</v>
      </c>
      <c r="E82" s="56">
        <f t="shared" si="10"/>
        <v>0</v>
      </c>
      <c r="F82" s="175">
        <f t="shared" si="11"/>
        <v>-19.957254302407001</v>
      </c>
    </row>
    <row r="83" spans="1:6" x14ac:dyDescent="0.25">
      <c r="A83" s="54">
        <f t="shared" si="12"/>
        <v>158</v>
      </c>
      <c r="B83" s="55">
        <f t="shared" si="7"/>
        <v>-20.095326253578865</v>
      </c>
      <c r="C83" s="56">
        <f t="shared" si="8"/>
        <v>0.13807195117186219</v>
      </c>
      <c r="D83" s="56">
        <f t="shared" si="9"/>
        <v>0</v>
      </c>
      <c r="E83" s="56">
        <f t="shared" si="10"/>
        <v>0</v>
      </c>
      <c r="F83" s="175">
        <f t="shared" si="11"/>
        <v>-19.957254302407001</v>
      </c>
    </row>
    <row r="84" spans="1:6" x14ac:dyDescent="0.25">
      <c r="A84" s="54">
        <f t="shared" si="12"/>
        <v>160</v>
      </c>
      <c r="B84" s="55">
        <f t="shared" si="7"/>
        <v>-20.095326253578865</v>
      </c>
      <c r="C84" s="56">
        <f t="shared" si="8"/>
        <v>0.13807195117186219</v>
      </c>
      <c r="D84" s="56">
        <f t="shared" si="9"/>
        <v>0</v>
      </c>
      <c r="E84" s="56">
        <f t="shared" si="10"/>
        <v>0</v>
      </c>
      <c r="F84" s="175">
        <f t="shared" si="11"/>
        <v>-19.957254302407001</v>
      </c>
    </row>
    <row r="85" spans="1:6" x14ac:dyDescent="0.25">
      <c r="A85" s="54">
        <f t="shared" si="12"/>
        <v>162</v>
      </c>
      <c r="B85" s="55">
        <f t="shared" si="7"/>
        <v>-20.095326253578865</v>
      </c>
      <c r="C85" s="56">
        <f t="shared" si="8"/>
        <v>0.13807195117186219</v>
      </c>
      <c r="D85" s="56">
        <f t="shared" si="9"/>
        <v>0</v>
      </c>
      <c r="E85" s="56">
        <f t="shared" si="10"/>
        <v>0</v>
      </c>
      <c r="F85" s="175">
        <f t="shared" si="11"/>
        <v>-19.957254302407001</v>
      </c>
    </row>
    <row r="86" spans="1:6" x14ac:dyDescent="0.25">
      <c r="A86" s="54">
        <f t="shared" si="12"/>
        <v>164</v>
      </c>
      <c r="B86" s="55">
        <f t="shared" si="7"/>
        <v>-20.095326253578865</v>
      </c>
      <c r="C86" s="56">
        <f t="shared" si="8"/>
        <v>0.13807195117186219</v>
      </c>
      <c r="D86" s="56">
        <f t="shared" si="9"/>
        <v>0</v>
      </c>
      <c r="E86" s="56">
        <f t="shared" si="10"/>
        <v>0</v>
      </c>
      <c r="F86" s="175">
        <f t="shared" si="11"/>
        <v>-19.957254302407001</v>
      </c>
    </row>
    <row r="87" spans="1:6" x14ac:dyDescent="0.25">
      <c r="A87" s="54">
        <f t="shared" si="12"/>
        <v>166</v>
      </c>
      <c r="B87" s="55">
        <f t="shared" si="7"/>
        <v>-20.095326253578865</v>
      </c>
      <c r="C87" s="56">
        <f t="shared" si="8"/>
        <v>0.13807195117186219</v>
      </c>
      <c r="D87" s="56">
        <f t="shared" si="9"/>
        <v>0</v>
      </c>
      <c r="E87" s="56">
        <f t="shared" si="10"/>
        <v>0</v>
      </c>
      <c r="F87" s="175">
        <f t="shared" si="11"/>
        <v>-19.957254302407001</v>
      </c>
    </row>
    <row r="88" spans="1:6" x14ac:dyDescent="0.25">
      <c r="A88" s="54">
        <f t="shared" si="12"/>
        <v>168</v>
      </c>
      <c r="B88" s="55">
        <f t="shared" si="7"/>
        <v>-20.095326253578865</v>
      </c>
      <c r="C88" s="56">
        <f t="shared" si="8"/>
        <v>0.13807195117186219</v>
      </c>
      <c r="D88" s="56">
        <f t="shared" si="9"/>
        <v>0</v>
      </c>
      <c r="E88" s="56">
        <f t="shared" si="10"/>
        <v>0</v>
      </c>
      <c r="F88" s="175">
        <f t="shared" si="11"/>
        <v>-19.957254302407001</v>
      </c>
    </row>
    <row r="89" spans="1:6" x14ac:dyDescent="0.25">
      <c r="A89" s="54">
        <f t="shared" si="12"/>
        <v>170</v>
      </c>
      <c r="B89" s="55">
        <f t="shared" si="7"/>
        <v>-20.095326253578865</v>
      </c>
      <c r="C89" s="56">
        <f t="shared" si="8"/>
        <v>0.13807195117186219</v>
      </c>
      <c r="D89" s="56">
        <f t="shared" si="9"/>
        <v>0</v>
      </c>
      <c r="E89" s="56">
        <f t="shared" si="10"/>
        <v>0</v>
      </c>
      <c r="F89" s="175">
        <f t="shared" si="11"/>
        <v>-19.957254302407001</v>
      </c>
    </row>
    <row r="90" spans="1:6" x14ac:dyDescent="0.25">
      <c r="A90" s="54">
        <f t="shared" si="12"/>
        <v>172</v>
      </c>
      <c r="B90" s="55">
        <f t="shared" si="7"/>
        <v>-20.095326253578865</v>
      </c>
      <c r="C90" s="56">
        <f t="shared" si="8"/>
        <v>0.13807195117186219</v>
      </c>
      <c r="D90" s="56">
        <f t="shared" si="9"/>
        <v>0</v>
      </c>
      <c r="E90" s="56">
        <f t="shared" si="10"/>
        <v>0</v>
      </c>
      <c r="F90" s="175">
        <f t="shared" si="11"/>
        <v>-19.957254302407001</v>
      </c>
    </row>
    <row r="91" spans="1:6" x14ac:dyDescent="0.25">
      <c r="A91" s="54">
        <f t="shared" si="12"/>
        <v>174</v>
      </c>
      <c r="B91" s="55">
        <f t="shared" si="7"/>
        <v>-20.095326253578865</v>
      </c>
      <c r="C91" s="56">
        <f t="shared" si="8"/>
        <v>0.13807195117186219</v>
      </c>
      <c r="D91" s="56">
        <f t="shared" si="9"/>
        <v>0</v>
      </c>
      <c r="E91" s="56">
        <f t="shared" si="10"/>
        <v>0</v>
      </c>
      <c r="F91" s="175">
        <f t="shared" si="11"/>
        <v>-19.957254302407001</v>
      </c>
    </row>
    <row r="92" spans="1:6" x14ac:dyDescent="0.25">
      <c r="A92" s="54">
        <f t="shared" si="12"/>
        <v>176</v>
      </c>
      <c r="B92" s="55">
        <f t="shared" si="7"/>
        <v>-20.095326253578865</v>
      </c>
      <c r="C92" s="56">
        <f t="shared" si="8"/>
        <v>0.13807195117186219</v>
      </c>
      <c r="D92" s="56">
        <f t="shared" si="9"/>
        <v>0</v>
      </c>
      <c r="E92" s="56">
        <f t="shared" si="10"/>
        <v>0</v>
      </c>
      <c r="F92" s="175">
        <f t="shared" si="11"/>
        <v>-19.957254302407001</v>
      </c>
    </row>
    <row r="93" spans="1:6" x14ac:dyDescent="0.25">
      <c r="A93" s="54">
        <f t="shared" si="12"/>
        <v>178</v>
      </c>
      <c r="B93" s="55">
        <f t="shared" si="7"/>
        <v>-20.095326253578865</v>
      </c>
      <c r="C93" s="56">
        <f t="shared" si="8"/>
        <v>0.13807195117186219</v>
      </c>
      <c r="D93" s="56">
        <f t="shared" si="9"/>
        <v>0</v>
      </c>
      <c r="E93" s="56">
        <f t="shared" si="10"/>
        <v>0</v>
      </c>
      <c r="F93" s="175">
        <f t="shared" si="11"/>
        <v>-19.957254302407001</v>
      </c>
    </row>
    <row r="94" spans="1:6" x14ac:dyDescent="0.25">
      <c r="A94" s="54">
        <f t="shared" si="12"/>
        <v>180</v>
      </c>
      <c r="B94" s="55">
        <f t="shared" si="7"/>
        <v>-20.095326253578865</v>
      </c>
      <c r="C94" s="56">
        <f t="shared" si="8"/>
        <v>0.13807195117186219</v>
      </c>
      <c r="D94" s="56">
        <f t="shared" si="9"/>
        <v>0</v>
      </c>
      <c r="E94" s="56">
        <f t="shared" si="10"/>
        <v>0</v>
      </c>
      <c r="F94" s="175">
        <f t="shared" si="11"/>
        <v>-19.957254302407001</v>
      </c>
    </row>
    <row r="95" spans="1:6" x14ac:dyDescent="0.25">
      <c r="A95" s="54">
        <f t="shared" si="12"/>
        <v>182</v>
      </c>
      <c r="B95" s="55">
        <f t="shared" si="7"/>
        <v>-20.095326253578865</v>
      </c>
      <c r="C95" s="56">
        <f t="shared" si="8"/>
        <v>0.13807195117186219</v>
      </c>
      <c r="D95" s="56">
        <f t="shared" si="9"/>
        <v>0</v>
      </c>
      <c r="E95" s="56">
        <f t="shared" si="10"/>
        <v>0</v>
      </c>
      <c r="F95" s="175">
        <f t="shared" si="11"/>
        <v>-19.957254302407001</v>
      </c>
    </row>
    <row r="96" spans="1:6" x14ac:dyDescent="0.25">
      <c r="A96" s="54">
        <f t="shared" si="12"/>
        <v>184</v>
      </c>
      <c r="B96" s="55">
        <f t="shared" si="7"/>
        <v>-20.095326253578865</v>
      </c>
      <c r="C96" s="56">
        <f t="shared" si="8"/>
        <v>0.13807195117186219</v>
      </c>
      <c r="D96" s="56">
        <f t="shared" si="9"/>
        <v>0</v>
      </c>
      <c r="E96" s="56">
        <f t="shared" si="10"/>
        <v>0</v>
      </c>
      <c r="F96" s="175">
        <f t="shared" si="11"/>
        <v>-19.957254302407001</v>
      </c>
    </row>
    <row r="97" spans="1:6" x14ac:dyDescent="0.25">
      <c r="A97" s="54">
        <f t="shared" si="12"/>
        <v>186</v>
      </c>
      <c r="B97" s="55">
        <f t="shared" si="7"/>
        <v>-20.095326253578865</v>
      </c>
      <c r="C97" s="56">
        <f t="shared" si="8"/>
        <v>0.13807195117186219</v>
      </c>
      <c r="D97" s="56">
        <f t="shared" si="9"/>
        <v>0</v>
      </c>
      <c r="E97" s="56">
        <f t="shared" si="10"/>
        <v>0</v>
      </c>
      <c r="F97" s="175">
        <f t="shared" si="11"/>
        <v>-19.957254302407001</v>
      </c>
    </row>
    <row r="98" spans="1:6" x14ac:dyDescent="0.25">
      <c r="A98" s="54">
        <f t="shared" si="12"/>
        <v>188</v>
      </c>
      <c r="B98" s="55">
        <f t="shared" si="7"/>
        <v>-20.095326253578865</v>
      </c>
      <c r="C98" s="56">
        <f t="shared" si="8"/>
        <v>0.13807195117186219</v>
      </c>
      <c r="D98" s="56">
        <f t="shared" si="9"/>
        <v>0</v>
      </c>
      <c r="E98" s="56">
        <f t="shared" si="10"/>
        <v>0</v>
      </c>
      <c r="F98" s="175">
        <f t="shared" si="11"/>
        <v>-19.957254302407001</v>
      </c>
    </row>
    <row r="99" spans="1:6" x14ac:dyDescent="0.25">
      <c r="A99" s="54">
        <f t="shared" si="12"/>
        <v>190</v>
      </c>
      <c r="B99" s="55">
        <f t="shared" si="7"/>
        <v>-20.095326253578865</v>
      </c>
      <c r="C99" s="56">
        <f t="shared" si="8"/>
        <v>0.13807195117186219</v>
      </c>
      <c r="D99" s="56">
        <f t="shared" si="9"/>
        <v>0</v>
      </c>
      <c r="E99" s="56">
        <f t="shared" si="10"/>
        <v>0</v>
      </c>
      <c r="F99" s="175">
        <f t="shared" si="11"/>
        <v>-19.957254302407001</v>
      </c>
    </row>
    <row r="100" spans="1:6" x14ac:dyDescent="0.25">
      <c r="A100" s="54">
        <f t="shared" si="12"/>
        <v>192</v>
      </c>
      <c r="B100" s="55">
        <f t="shared" si="7"/>
        <v>-20.095326253578865</v>
      </c>
      <c r="C100" s="56">
        <f t="shared" si="8"/>
        <v>0.13807195117186219</v>
      </c>
      <c r="D100" s="56">
        <f t="shared" si="9"/>
        <v>0</v>
      </c>
      <c r="E100" s="56">
        <f t="shared" si="10"/>
        <v>0</v>
      </c>
      <c r="F100" s="175">
        <f t="shared" si="11"/>
        <v>-19.957254302407001</v>
      </c>
    </row>
    <row r="101" spans="1:6" x14ac:dyDescent="0.25">
      <c r="A101" s="54">
        <f t="shared" si="12"/>
        <v>194</v>
      </c>
      <c r="B101" s="55">
        <f t="shared" si="7"/>
        <v>-20.095326253578865</v>
      </c>
      <c r="C101" s="56">
        <f t="shared" si="8"/>
        <v>0.13807195117186219</v>
      </c>
      <c r="D101" s="56">
        <f t="shared" si="9"/>
        <v>0</v>
      </c>
      <c r="E101" s="56">
        <f t="shared" si="10"/>
        <v>0</v>
      </c>
      <c r="F101" s="175">
        <f t="shared" si="11"/>
        <v>-19.957254302407001</v>
      </c>
    </row>
    <row r="102" spans="1:6" x14ac:dyDescent="0.25">
      <c r="A102" s="54">
        <f t="shared" si="12"/>
        <v>196</v>
      </c>
      <c r="B102" s="55">
        <f t="shared" si="7"/>
        <v>-20.095326253578865</v>
      </c>
      <c r="C102" s="56">
        <f t="shared" si="8"/>
        <v>0.13807195117186219</v>
      </c>
      <c r="D102" s="56">
        <f t="shared" si="9"/>
        <v>0</v>
      </c>
      <c r="E102" s="56">
        <f t="shared" si="10"/>
        <v>0</v>
      </c>
      <c r="F102" s="175">
        <f t="shared" si="11"/>
        <v>-19.957254302407001</v>
      </c>
    </row>
    <row r="103" spans="1:6" x14ac:dyDescent="0.25">
      <c r="A103" s="54">
        <f t="shared" si="12"/>
        <v>198</v>
      </c>
      <c r="B103" s="55">
        <f t="shared" si="7"/>
        <v>-20.095326253578865</v>
      </c>
      <c r="C103" s="56">
        <f t="shared" si="8"/>
        <v>0.13807195117186219</v>
      </c>
      <c r="D103" s="56">
        <f t="shared" si="9"/>
        <v>0</v>
      </c>
      <c r="E103" s="56">
        <f t="shared" si="10"/>
        <v>0</v>
      </c>
      <c r="F103" s="175">
        <f t="shared" si="11"/>
        <v>-19.957254302407001</v>
      </c>
    </row>
    <row r="104" spans="1:6" x14ac:dyDescent="0.25">
      <c r="A104" s="64">
        <f t="shared" si="12"/>
        <v>200</v>
      </c>
      <c r="B104" s="65">
        <f t="shared" si="7"/>
        <v>-20.095326253578865</v>
      </c>
      <c r="C104" s="58">
        <f t="shared" si="8"/>
        <v>0.13807195117186219</v>
      </c>
      <c r="D104" s="58">
        <f t="shared" si="9"/>
        <v>0</v>
      </c>
      <c r="E104" s="58">
        <f t="shared" si="10"/>
        <v>0</v>
      </c>
      <c r="F104" s="176">
        <f t="shared" si="11"/>
        <v>-19.957254302407001</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I2:I10"/>
    <mergeCell ref="K2:N2"/>
    <mergeCell ref="B3:E3"/>
    <mergeCell ref="K6:N6"/>
    <mergeCell ref="K7:N7"/>
    <mergeCell ref="K8:N8"/>
    <mergeCell ref="K9:N9"/>
    <mergeCell ref="K10:N10"/>
    <mergeCell ref="F1:F3"/>
    <mergeCell ref="A1:A2"/>
    <mergeCell ref="B1:B2"/>
    <mergeCell ref="C1:C2"/>
    <mergeCell ref="D1:D2"/>
    <mergeCell ref="E1:E2"/>
  </mergeCells>
  <pageMargins left="0.75" right="0.75" top="1" bottom="1" header="0.5" footer="0.5"/>
  <pageSetup orientation="portrait" r:id="rId1"/>
  <headerFooter alignWithMargins="0"/>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C3A1-2A0F-458E-86E8-47A3336020EF}">
  <dimension ref="A1:N132"/>
  <sheetViews>
    <sheetView topLeftCell="E1" zoomScale="110" zoomScaleNormal="110" workbookViewId="0">
      <selection activeCell="K15" sqref="K15"/>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P</v>
      </c>
      <c r="C1" s="724" t="str">
        <f>L3</f>
        <v>p</v>
      </c>
      <c r="D1" s="724" t="str">
        <f t="shared" ref="D1:E1" si="0">M3</f>
        <v>C</v>
      </c>
      <c r="E1" s="724" t="str">
        <f t="shared" si="0"/>
        <v>C</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98</v>
      </c>
      <c r="L3" s="46" t="s">
        <v>228</v>
      </c>
      <c r="M3" s="46" t="s">
        <v>99</v>
      </c>
      <c r="N3" s="46" t="s">
        <v>99</v>
      </c>
    </row>
    <row r="4" spans="1:14" x14ac:dyDescent="0.25">
      <c r="A4" s="51">
        <v>0</v>
      </c>
      <c r="B4" s="52">
        <f>(MAX(IF($B$1="C",1,-1)*(A4-$K$5),0)-IF($K$10="Y",$K$13*EXP($K$6*$K$9),0))*$K$4</f>
        <v>-80</v>
      </c>
      <c r="C4" s="45">
        <f>(MAX(IF($C$1="C",1,-1)*(A4-$L$5),0)-IF($K$10="Y",$L$13*EXP($K$6*$K$9),0))*$L$4</f>
        <v>100</v>
      </c>
      <c r="D4" s="45">
        <f>(MAX(IF($D$1="C",1,-1)*(A4-$M$5),0)-IF($K$10="Y",$M$13*EXP($K$6*$K$9),0))*$M$4</f>
        <v>0</v>
      </c>
      <c r="E4" s="45">
        <f>(MAX(IF($E$1="C",1,-1)*(A4-$N$5),0)-IF($K$10="Y",$N$13*EXP($K$6*$K$9),0))*$N$4</f>
        <v>0</v>
      </c>
      <c r="F4" s="174">
        <f>SUM(B4:E4)</f>
        <v>20</v>
      </c>
      <c r="I4" s="715"/>
      <c r="J4" s="50" t="s">
        <v>100</v>
      </c>
      <c r="K4" s="46">
        <v>-1</v>
      </c>
      <c r="L4" s="46">
        <v>1</v>
      </c>
      <c r="M4" s="46">
        <v>-1</v>
      </c>
      <c r="N4" s="46">
        <v>1</v>
      </c>
    </row>
    <row r="5" spans="1:14" x14ac:dyDescent="0.25">
      <c r="A5" s="54">
        <f>A4+2</f>
        <v>2</v>
      </c>
      <c r="B5" s="55">
        <f t="shared" ref="B5:B68" si="1">(MAX(IF($B$1="C",1,-1)*(A5-$K$5),0)-IF($K$10="Y",$K$13*EXP($K$6*$K$9),0))*$K$4</f>
        <v>-78</v>
      </c>
      <c r="C5" s="56">
        <f t="shared" ref="C5:C68" si="2">(MAX(IF($C$1="C",1,-1)*(A5-$L$5),0)-IF($K$10="Y",$L$13*EXP($K$6*$K$9),0))*$L$4</f>
        <v>98</v>
      </c>
      <c r="D5" s="56">
        <f t="shared" ref="D5:D68" si="3">(MAX(IF($D$1="C",1,-1)*(A5-$M$5),0)-IF($K$10="Y",$M$13*EXP($K$6*$K$9),0))*$M$4</f>
        <v>0</v>
      </c>
      <c r="E5" s="56">
        <f t="shared" ref="E5:E68" si="4">(MAX(IF($E$1="C",1,-1)*(A5-$N$5),0)-IF($K$10="Y",$N$13*EXP($K$6*$K$9),0))*$N$4</f>
        <v>0</v>
      </c>
      <c r="F5" s="175">
        <f t="shared" ref="F5:F68" si="5">SUM(B5:E5)</f>
        <v>20</v>
      </c>
      <c r="I5" s="715"/>
      <c r="J5" s="56" t="s">
        <v>101</v>
      </c>
      <c r="K5" s="46">
        <v>80</v>
      </c>
      <c r="L5" s="46">
        <v>100</v>
      </c>
      <c r="M5" s="46">
        <v>120</v>
      </c>
      <c r="N5" s="46">
        <v>100</v>
      </c>
    </row>
    <row r="6" spans="1:14" x14ac:dyDescent="0.25">
      <c r="A6" s="54">
        <f t="shared" ref="A6:A69" si="6">A5+2</f>
        <v>4</v>
      </c>
      <c r="B6" s="55">
        <f t="shared" si="1"/>
        <v>-76</v>
      </c>
      <c r="C6" s="56">
        <f t="shared" si="2"/>
        <v>96</v>
      </c>
      <c r="D6" s="56">
        <f t="shared" si="3"/>
        <v>0</v>
      </c>
      <c r="E6" s="56">
        <f t="shared" si="4"/>
        <v>0</v>
      </c>
      <c r="F6" s="175">
        <f t="shared" si="5"/>
        <v>20</v>
      </c>
      <c r="I6" s="715"/>
      <c r="J6" s="56" t="s">
        <v>102</v>
      </c>
      <c r="K6" s="758">
        <v>0.02</v>
      </c>
      <c r="L6" s="719"/>
      <c r="M6" s="719"/>
      <c r="N6" s="720"/>
    </row>
    <row r="7" spans="1:14" x14ac:dyDescent="0.25">
      <c r="A7" s="54">
        <f t="shared" si="6"/>
        <v>6</v>
      </c>
      <c r="B7" s="55">
        <f t="shared" si="1"/>
        <v>-74</v>
      </c>
      <c r="C7" s="56">
        <f t="shared" si="2"/>
        <v>94</v>
      </c>
      <c r="D7" s="56">
        <f t="shared" si="3"/>
        <v>0</v>
      </c>
      <c r="E7" s="56">
        <f t="shared" si="4"/>
        <v>0</v>
      </c>
      <c r="F7" s="175">
        <f t="shared" si="5"/>
        <v>20</v>
      </c>
      <c r="I7" s="715"/>
      <c r="J7" s="56" t="s">
        <v>103</v>
      </c>
      <c r="K7" s="758">
        <v>0</v>
      </c>
      <c r="L7" s="719"/>
      <c r="M7" s="719"/>
      <c r="N7" s="720"/>
    </row>
    <row r="8" spans="1:14" x14ac:dyDescent="0.25">
      <c r="A8" s="54">
        <f t="shared" si="6"/>
        <v>8</v>
      </c>
      <c r="B8" s="55">
        <f t="shared" si="1"/>
        <v>-72</v>
      </c>
      <c r="C8" s="56">
        <f t="shared" si="2"/>
        <v>92</v>
      </c>
      <c r="D8" s="56">
        <f t="shared" si="3"/>
        <v>0</v>
      </c>
      <c r="E8" s="56">
        <f t="shared" si="4"/>
        <v>0</v>
      </c>
      <c r="F8" s="175">
        <f t="shared" si="5"/>
        <v>20</v>
      </c>
      <c r="I8" s="715"/>
      <c r="J8" s="56" t="s">
        <v>104</v>
      </c>
      <c r="K8" s="758">
        <v>0.3</v>
      </c>
      <c r="L8" s="719"/>
      <c r="M8" s="719"/>
      <c r="N8" s="720"/>
    </row>
    <row r="9" spans="1:14" x14ac:dyDescent="0.25">
      <c r="A9" s="54">
        <f t="shared" si="6"/>
        <v>10</v>
      </c>
      <c r="B9" s="55">
        <f t="shared" si="1"/>
        <v>-70</v>
      </c>
      <c r="C9" s="56">
        <f t="shared" si="2"/>
        <v>90</v>
      </c>
      <c r="D9" s="56">
        <f t="shared" si="3"/>
        <v>0</v>
      </c>
      <c r="E9" s="56">
        <f t="shared" si="4"/>
        <v>0</v>
      </c>
      <c r="F9" s="175">
        <f t="shared" si="5"/>
        <v>20</v>
      </c>
      <c r="I9" s="715"/>
      <c r="J9" s="58" t="s">
        <v>105</v>
      </c>
      <c r="K9" s="729">
        <f>2/12</f>
        <v>0.16666666666666666</v>
      </c>
      <c r="L9" s="721"/>
      <c r="M9" s="721"/>
      <c r="N9" s="722"/>
    </row>
    <row r="10" spans="1:14" x14ac:dyDescent="0.25">
      <c r="A10" s="54">
        <f t="shared" si="6"/>
        <v>12</v>
      </c>
      <c r="B10" s="55">
        <f t="shared" si="1"/>
        <v>-68</v>
      </c>
      <c r="C10" s="56">
        <f t="shared" si="2"/>
        <v>88</v>
      </c>
      <c r="D10" s="56">
        <f t="shared" si="3"/>
        <v>0</v>
      </c>
      <c r="E10" s="56">
        <f t="shared" si="4"/>
        <v>0</v>
      </c>
      <c r="F10" s="175">
        <f t="shared" si="5"/>
        <v>20</v>
      </c>
      <c r="I10" s="716"/>
      <c r="J10" s="59" t="s">
        <v>106</v>
      </c>
      <c r="K10" s="729" t="s">
        <v>239</v>
      </c>
      <c r="L10" s="721"/>
      <c r="M10" s="721"/>
      <c r="N10" s="722"/>
    </row>
    <row r="11" spans="1:14" x14ac:dyDescent="0.25">
      <c r="A11" s="54">
        <f t="shared" si="6"/>
        <v>14</v>
      </c>
      <c r="B11" s="55">
        <f t="shared" si="1"/>
        <v>-66</v>
      </c>
      <c r="C11" s="56">
        <f t="shared" si="2"/>
        <v>86</v>
      </c>
      <c r="D11" s="56">
        <f t="shared" si="3"/>
        <v>0</v>
      </c>
      <c r="E11" s="56">
        <f t="shared" si="4"/>
        <v>0</v>
      </c>
      <c r="F11" s="175">
        <f t="shared" si="5"/>
        <v>20</v>
      </c>
      <c r="I11" s="41" t="s">
        <v>107</v>
      </c>
      <c r="J11" s="52" t="s">
        <v>108</v>
      </c>
      <c r="K11" s="47">
        <f>(LN($K$2/K5)+(($K$6-$K$7+(0.5*$K$8*$K$8))*$K$9))/($K$8*SQRT($K$9))</f>
        <v>1.910413263308399</v>
      </c>
      <c r="L11" s="47">
        <f>(LN($K$2/L5)+(($K$6-$K$7+(0.5*$K$8*$K$8))*$K$9))/($K$8*SQRT($K$9))</f>
        <v>8.8453796267170329E-2</v>
      </c>
      <c r="M11" s="47">
        <f>(LN($K$2/M5)+(($K$6-$K$7+(0.5*$K$8*$K$8))*$K$9))/($K$8*SQRT($K$9))</f>
        <v>-1.4001954812496711</v>
      </c>
      <c r="N11" s="47">
        <f>(LN($K$2/N5)+(($K$6-$K$7+(0.5*$K$8*$K$8))*$K$9))/($K$8*SQRT($K$9))</f>
        <v>8.8453796267170329E-2</v>
      </c>
    </row>
    <row r="12" spans="1:14" x14ac:dyDescent="0.25">
      <c r="A12" s="54">
        <f t="shared" si="6"/>
        <v>16</v>
      </c>
      <c r="B12" s="55">
        <f t="shared" si="1"/>
        <v>-64</v>
      </c>
      <c r="C12" s="56">
        <f t="shared" si="2"/>
        <v>84</v>
      </c>
      <c r="D12" s="56">
        <f t="shared" si="3"/>
        <v>0</v>
      </c>
      <c r="E12" s="56">
        <f t="shared" si="4"/>
        <v>0</v>
      </c>
      <c r="F12" s="175">
        <f t="shared" si="5"/>
        <v>20</v>
      </c>
      <c r="I12" s="49"/>
      <c r="J12" s="55" t="s">
        <v>109</v>
      </c>
      <c r="K12" s="60">
        <f>K11-($K$8*SQRT($K$9))</f>
        <v>1.78793877616924</v>
      </c>
      <c r="L12" s="60">
        <f>L11-($K$8*SQRT($K$9))</f>
        <v>-3.4020690871988571E-2</v>
      </c>
      <c r="M12" s="60">
        <f>M11-($K$8*SQRT($K$9))</f>
        <v>-1.5226699683888301</v>
      </c>
      <c r="N12" s="60">
        <f>N11-($K$8*SQRT($K$9))</f>
        <v>-3.4020690871988571E-2</v>
      </c>
    </row>
    <row r="13" spans="1:14" x14ac:dyDescent="0.25">
      <c r="A13" s="54">
        <f t="shared" si="6"/>
        <v>18</v>
      </c>
      <c r="B13" s="55">
        <f t="shared" si="1"/>
        <v>-62</v>
      </c>
      <c r="C13" s="56">
        <f t="shared" si="2"/>
        <v>82</v>
      </c>
      <c r="D13" s="56">
        <f t="shared" si="3"/>
        <v>0</v>
      </c>
      <c r="E13" s="56">
        <f t="shared" si="4"/>
        <v>0</v>
      </c>
      <c r="F13" s="175">
        <f t="shared" si="5"/>
        <v>20</v>
      </c>
      <c r="I13" s="44"/>
      <c r="J13" s="61" t="s">
        <v>110</v>
      </c>
      <c r="K13" s="62">
        <f>IF(K3="C",($K$2*EXP(-$K$7*$K$9)*NORMSDIST(K11))-(K5*EXP(-$K$6*$K$9)*NORMSDIST(K12)),(-$K$2*EXP(-$K$7*$K$9)*NORMSDIST(-K11))-(-K5*EXP(-$K$6*$K$9)*NORMSDIST(-K12)))</f>
        <v>0.13761247754943184</v>
      </c>
      <c r="L13" s="62">
        <f>IF(L3="C",($K$2*EXP(-$K$7*$K$9)*NORMSDIST(L11))-(L5*EXP(-$K$6*$K$9)*NORMSDIST(L12)),(-$K$2*EXP(-$K$7*$K$9)*NORMSDIST(-L11))-(-L5*EXP(-$K$6*$K$9)*NORMSDIST(-L12)))</f>
        <v>4.7102622635835161</v>
      </c>
      <c r="M13" s="62">
        <f>IF(M3="C",($K$2*EXP(-$K$7*$K$9)*NORMSDIST(M11))-(M5*EXP(-$K$6*$K$9)*NORMSDIST(M12)),(-$K$2*EXP(-$K$7*$K$9)*NORMSDIST(-M11))-(-M5*EXP(-$K$6*$K$9)*NORMSDIST(-M12)))</f>
        <v>0.42778742295030714</v>
      </c>
      <c r="N13" s="62">
        <f>IF(N3="C",($K$2*EXP(-$K$7*$K$9)*NORMSDIST(N11))-(N5*EXP(-$K$6*$K$9)*NORMSDIST(N12)),(-$K$2*EXP(-$K$7*$K$9)*NORMSDIST(-N11))-(-N5*EXP(-$K$6*$K$9)*NORMSDIST(-N12)))</f>
        <v>5.0430406581311829</v>
      </c>
    </row>
    <row r="14" spans="1:14" x14ac:dyDescent="0.25">
      <c r="A14" s="54">
        <f t="shared" si="6"/>
        <v>20</v>
      </c>
      <c r="B14" s="55">
        <f t="shared" si="1"/>
        <v>-60</v>
      </c>
      <c r="C14" s="56">
        <f t="shared" si="2"/>
        <v>80</v>
      </c>
      <c r="D14" s="56">
        <f t="shared" si="3"/>
        <v>0</v>
      </c>
      <c r="E14" s="56">
        <f t="shared" si="4"/>
        <v>0</v>
      </c>
      <c r="F14" s="175">
        <f t="shared" si="5"/>
        <v>20</v>
      </c>
      <c r="K14" s="96">
        <f>SUMPRODUCT(K4:N4,K13:N13)</f>
        <v>9.1879030212149608</v>
      </c>
    </row>
    <row r="15" spans="1:14" x14ac:dyDescent="0.25">
      <c r="A15" s="54">
        <f t="shared" si="6"/>
        <v>22</v>
      </c>
      <c r="B15" s="55">
        <f t="shared" si="1"/>
        <v>-58</v>
      </c>
      <c r="C15" s="56">
        <f t="shared" si="2"/>
        <v>78</v>
      </c>
      <c r="D15" s="56">
        <f t="shared" si="3"/>
        <v>0</v>
      </c>
      <c r="E15" s="56">
        <f t="shared" si="4"/>
        <v>0</v>
      </c>
      <c r="F15" s="175">
        <f t="shared" si="5"/>
        <v>20</v>
      </c>
    </row>
    <row r="16" spans="1:14" x14ac:dyDescent="0.25">
      <c r="A16" s="54">
        <f t="shared" si="6"/>
        <v>24</v>
      </c>
      <c r="B16" s="55">
        <f t="shared" si="1"/>
        <v>-56</v>
      </c>
      <c r="C16" s="56">
        <f t="shared" si="2"/>
        <v>76</v>
      </c>
      <c r="D16" s="56">
        <f t="shared" si="3"/>
        <v>0</v>
      </c>
      <c r="E16" s="56">
        <f t="shared" si="4"/>
        <v>0</v>
      </c>
      <c r="F16" s="175">
        <f t="shared" si="5"/>
        <v>20</v>
      </c>
    </row>
    <row r="17" spans="1:9" x14ac:dyDescent="0.25">
      <c r="A17" s="54">
        <f t="shared" si="6"/>
        <v>26</v>
      </c>
      <c r="B17" s="55">
        <f t="shared" si="1"/>
        <v>-54</v>
      </c>
      <c r="C17" s="56">
        <f t="shared" si="2"/>
        <v>74</v>
      </c>
      <c r="D17" s="56">
        <f t="shared" si="3"/>
        <v>0</v>
      </c>
      <c r="E17" s="56">
        <f t="shared" si="4"/>
        <v>0</v>
      </c>
      <c r="F17" s="175">
        <f t="shared" si="5"/>
        <v>20</v>
      </c>
    </row>
    <row r="18" spans="1:9" x14ac:dyDescent="0.25">
      <c r="A18" s="54">
        <f t="shared" si="6"/>
        <v>28</v>
      </c>
      <c r="B18" s="55">
        <f t="shared" si="1"/>
        <v>-52</v>
      </c>
      <c r="C18" s="56">
        <f t="shared" si="2"/>
        <v>72</v>
      </c>
      <c r="D18" s="56">
        <f t="shared" si="3"/>
        <v>0</v>
      </c>
      <c r="E18" s="56">
        <f t="shared" si="4"/>
        <v>0</v>
      </c>
      <c r="F18" s="175">
        <f t="shared" si="5"/>
        <v>20</v>
      </c>
    </row>
    <row r="19" spans="1:9" x14ac:dyDescent="0.25">
      <c r="A19" s="54">
        <f t="shared" si="6"/>
        <v>30</v>
      </c>
      <c r="B19" s="55">
        <f t="shared" si="1"/>
        <v>-50</v>
      </c>
      <c r="C19" s="56">
        <f t="shared" si="2"/>
        <v>70</v>
      </c>
      <c r="D19" s="56">
        <f t="shared" si="3"/>
        <v>0</v>
      </c>
      <c r="E19" s="56">
        <f t="shared" si="4"/>
        <v>0</v>
      </c>
      <c r="F19" s="175">
        <f t="shared" si="5"/>
        <v>20</v>
      </c>
    </row>
    <row r="20" spans="1:9" x14ac:dyDescent="0.25">
      <c r="A20" s="54">
        <f t="shared" si="6"/>
        <v>32</v>
      </c>
      <c r="B20" s="55">
        <f t="shared" si="1"/>
        <v>-48</v>
      </c>
      <c r="C20" s="56">
        <f t="shared" si="2"/>
        <v>68</v>
      </c>
      <c r="D20" s="56">
        <f t="shared" si="3"/>
        <v>0</v>
      </c>
      <c r="E20" s="56">
        <f t="shared" si="4"/>
        <v>0</v>
      </c>
      <c r="F20" s="175">
        <f t="shared" si="5"/>
        <v>20</v>
      </c>
    </row>
    <row r="21" spans="1:9" x14ac:dyDescent="0.25">
      <c r="A21" s="54">
        <f t="shared" si="6"/>
        <v>34</v>
      </c>
      <c r="B21" s="55">
        <f t="shared" si="1"/>
        <v>-46</v>
      </c>
      <c r="C21" s="56">
        <f t="shared" si="2"/>
        <v>66</v>
      </c>
      <c r="D21" s="56">
        <f t="shared" si="3"/>
        <v>0</v>
      </c>
      <c r="E21" s="56">
        <f t="shared" si="4"/>
        <v>0</v>
      </c>
      <c r="F21" s="175">
        <f t="shared" si="5"/>
        <v>20</v>
      </c>
    </row>
    <row r="22" spans="1:9" x14ac:dyDescent="0.25">
      <c r="A22" s="54">
        <f t="shared" si="6"/>
        <v>36</v>
      </c>
      <c r="B22" s="55">
        <f t="shared" si="1"/>
        <v>-44</v>
      </c>
      <c r="C22" s="56">
        <f t="shared" si="2"/>
        <v>64</v>
      </c>
      <c r="D22" s="56">
        <f t="shared" si="3"/>
        <v>0</v>
      </c>
      <c r="E22" s="56">
        <f t="shared" si="4"/>
        <v>0</v>
      </c>
      <c r="F22" s="175">
        <f t="shared" si="5"/>
        <v>20</v>
      </c>
    </row>
    <row r="23" spans="1:9" x14ac:dyDescent="0.25">
      <c r="A23" s="54">
        <f t="shared" si="6"/>
        <v>38</v>
      </c>
      <c r="B23" s="55">
        <f t="shared" si="1"/>
        <v>-42</v>
      </c>
      <c r="C23" s="56">
        <f t="shared" si="2"/>
        <v>62</v>
      </c>
      <c r="D23" s="56">
        <f t="shared" si="3"/>
        <v>0</v>
      </c>
      <c r="E23" s="56">
        <f t="shared" si="4"/>
        <v>0</v>
      </c>
      <c r="F23" s="175">
        <f t="shared" si="5"/>
        <v>20</v>
      </c>
    </row>
    <row r="24" spans="1:9" x14ac:dyDescent="0.25">
      <c r="A24" s="54">
        <f t="shared" si="6"/>
        <v>40</v>
      </c>
      <c r="B24" s="55">
        <f t="shared" si="1"/>
        <v>-40</v>
      </c>
      <c r="C24" s="56">
        <f t="shared" si="2"/>
        <v>60</v>
      </c>
      <c r="D24" s="56">
        <f t="shared" si="3"/>
        <v>0</v>
      </c>
      <c r="E24" s="56">
        <f t="shared" si="4"/>
        <v>0</v>
      </c>
      <c r="F24" s="175">
        <f t="shared" si="5"/>
        <v>20</v>
      </c>
    </row>
    <row r="25" spans="1:9" x14ac:dyDescent="0.25">
      <c r="A25" s="54">
        <f t="shared" si="6"/>
        <v>42</v>
      </c>
      <c r="B25" s="55">
        <f t="shared" si="1"/>
        <v>-38</v>
      </c>
      <c r="C25" s="56">
        <f t="shared" si="2"/>
        <v>58</v>
      </c>
      <c r="D25" s="56">
        <f t="shared" si="3"/>
        <v>0</v>
      </c>
      <c r="E25" s="56">
        <f t="shared" si="4"/>
        <v>0</v>
      </c>
      <c r="F25" s="175">
        <f t="shared" si="5"/>
        <v>20</v>
      </c>
      <c r="I25" s="63"/>
    </row>
    <row r="26" spans="1:9" x14ac:dyDescent="0.25">
      <c r="A26" s="54">
        <f t="shared" si="6"/>
        <v>44</v>
      </c>
      <c r="B26" s="55">
        <f t="shared" si="1"/>
        <v>-36</v>
      </c>
      <c r="C26" s="56">
        <f t="shared" si="2"/>
        <v>56</v>
      </c>
      <c r="D26" s="56">
        <f t="shared" si="3"/>
        <v>0</v>
      </c>
      <c r="E26" s="56">
        <f t="shared" si="4"/>
        <v>0</v>
      </c>
      <c r="F26" s="175">
        <f t="shared" si="5"/>
        <v>20</v>
      </c>
    </row>
    <row r="27" spans="1:9" x14ac:dyDescent="0.25">
      <c r="A27" s="54">
        <f t="shared" si="6"/>
        <v>46</v>
      </c>
      <c r="B27" s="55">
        <f t="shared" si="1"/>
        <v>-34</v>
      </c>
      <c r="C27" s="56">
        <f t="shared" si="2"/>
        <v>54</v>
      </c>
      <c r="D27" s="56">
        <f t="shared" si="3"/>
        <v>0</v>
      </c>
      <c r="E27" s="56">
        <f t="shared" si="4"/>
        <v>0</v>
      </c>
      <c r="F27" s="175">
        <f t="shared" si="5"/>
        <v>20</v>
      </c>
    </row>
    <row r="28" spans="1:9" x14ac:dyDescent="0.25">
      <c r="A28" s="54">
        <f t="shared" si="6"/>
        <v>48</v>
      </c>
      <c r="B28" s="55">
        <f t="shared" si="1"/>
        <v>-32</v>
      </c>
      <c r="C28" s="56">
        <f t="shared" si="2"/>
        <v>52</v>
      </c>
      <c r="D28" s="56">
        <f t="shared" si="3"/>
        <v>0</v>
      </c>
      <c r="E28" s="56">
        <f t="shared" si="4"/>
        <v>0</v>
      </c>
      <c r="F28" s="175">
        <f t="shared" si="5"/>
        <v>20</v>
      </c>
    </row>
    <row r="29" spans="1:9" x14ac:dyDescent="0.25">
      <c r="A29" s="54">
        <f t="shared" si="6"/>
        <v>50</v>
      </c>
      <c r="B29" s="55">
        <f t="shared" si="1"/>
        <v>-30</v>
      </c>
      <c r="C29" s="56">
        <f t="shared" si="2"/>
        <v>50</v>
      </c>
      <c r="D29" s="56">
        <f t="shared" si="3"/>
        <v>0</v>
      </c>
      <c r="E29" s="56">
        <f t="shared" si="4"/>
        <v>0</v>
      </c>
      <c r="F29" s="175">
        <f t="shared" si="5"/>
        <v>20</v>
      </c>
    </row>
    <row r="30" spans="1:9" x14ac:dyDescent="0.25">
      <c r="A30" s="54">
        <f t="shared" si="6"/>
        <v>52</v>
      </c>
      <c r="B30" s="55">
        <f t="shared" si="1"/>
        <v>-28</v>
      </c>
      <c r="C30" s="56">
        <f t="shared" si="2"/>
        <v>48</v>
      </c>
      <c r="D30" s="56">
        <f t="shared" si="3"/>
        <v>0</v>
      </c>
      <c r="E30" s="56">
        <f t="shared" si="4"/>
        <v>0</v>
      </c>
      <c r="F30" s="175">
        <f t="shared" si="5"/>
        <v>20</v>
      </c>
    </row>
    <row r="31" spans="1:9" x14ac:dyDescent="0.25">
      <c r="A31" s="54">
        <f t="shared" si="6"/>
        <v>54</v>
      </c>
      <c r="B31" s="55">
        <f t="shared" si="1"/>
        <v>-26</v>
      </c>
      <c r="C31" s="56">
        <f t="shared" si="2"/>
        <v>46</v>
      </c>
      <c r="D31" s="56">
        <f t="shared" si="3"/>
        <v>0</v>
      </c>
      <c r="E31" s="56">
        <f t="shared" si="4"/>
        <v>0</v>
      </c>
      <c r="F31" s="175">
        <f t="shared" si="5"/>
        <v>20</v>
      </c>
    </row>
    <row r="32" spans="1:9" x14ac:dyDescent="0.25">
      <c r="A32" s="54">
        <f t="shared" si="6"/>
        <v>56</v>
      </c>
      <c r="B32" s="55">
        <f t="shared" si="1"/>
        <v>-24</v>
      </c>
      <c r="C32" s="56">
        <f t="shared" si="2"/>
        <v>44</v>
      </c>
      <c r="D32" s="56">
        <f t="shared" si="3"/>
        <v>0</v>
      </c>
      <c r="E32" s="56">
        <f t="shared" si="4"/>
        <v>0</v>
      </c>
      <c r="F32" s="175">
        <f t="shared" si="5"/>
        <v>20</v>
      </c>
    </row>
    <row r="33" spans="1:6" x14ac:dyDescent="0.25">
      <c r="A33" s="54">
        <f t="shared" si="6"/>
        <v>58</v>
      </c>
      <c r="B33" s="55">
        <f t="shared" si="1"/>
        <v>-22</v>
      </c>
      <c r="C33" s="56">
        <f t="shared" si="2"/>
        <v>42</v>
      </c>
      <c r="D33" s="56">
        <f t="shared" si="3"/>
        <v>0</v>
      </c>
      <c r="E33" s="56">
        <f t="shared" si="4"/>
        <v>0</v>
      </c>
      <c r="F33" s="175">
        <f t="shared" si="5"/>
        <v>20</v>
      </c>
    </row>
    <row r="34" spans="1:6" x14ac:dyDescent="0.25">
      <c r="A34" s="54">
        <f t="shared" si="6"/>
        <v>60</v>
      </c>
      <c r="B34" s="55">
        <f t="shared" si="1"/>
        <v>-20</v>
      </c>
      <c r="C34" s="56">
        <f t="shared" si="2"/>
        <v>40</v>
      </c>
      <c r="D34" s="56">
        <f t="shared" si="3"/>
        <v>0</v>
      </c>
      <c r="E34" s="56">
        <f t="shared" si="4"/>
        <v>0</v>
      </c>
      <c r="F34" s="175">
        <f t="shared" si="5"/>
        <v>20</v>
      </c>
    </row>
    <row r="35" spans="1:6" x14ac:dyDescent="0.25">
      <c r="A35" s="54">
        <f t="shared" si="6"/>
        <v>62</v>
      </c>
      <c r="B35" s="55">
        <f t="shared" si="1"/>
        <v>-18</v>
      </c>
      <c r="C35" s="56">
        <f t="shared" si="2"/>
        <v>38</v>
      </c>
      <c r="D35" s="56">
        <f t="shared" si="3"/>
        <v>0</v>
      </c>
      <c r="E35" s="56">
        <f t="shared" si="4"/>
        <v>0</v>
      </c>
      <c r="F35" s="175">
        <f t="shared" si="5"/>
        <v>20</v>
      </c>
    </row>
    <row r="36" spans="1:6" x14ac:dyDescent="0.25">
      <c r="A36" s="54">
        <f t="shared" si="6"/>
        <v>64</v>
      </c>
      <c r="B36" s="55">
        <f t="shared" si="1"/>
        <v>-16</v>
      </c>
      <c r="C36" s="56">
        <f t="shared" si="2"/>
        <v>36</v>
      </c>
      <c r="D36" s="56">
        <f t="shared" si="3"/>
        <v>0</v>
      </c>
      <c r="E36" s="56">
        <f t="shared" si="4"/>
        <v>0</v>
      </c>
      <c r="F36" s="175">
        <f t="shared" si="5"/>
        <v>20</v>
      </c>
    </row>
    <row r="37" spans="1:6" x14ac:dyDescent="0.25">
      <c r="A37" s="54">
        <f t="shared" si="6"/>
        <v>66</v>
      </c>
      <c r="B37" s="55">
        <f t="shared" si="1"/>
        <v>-14</v>
      </c>
      <c r="C37" s="56">
        <f t="shared" si="2"/>
        <v>34</v>
      </c>
      <c r="D37" s="56">
        <f t="shared" si="3"/>
        <v>0</v>
      </c>
      <c r="E37" s="56">
        <f t="shared" si="4"/>
        <v>0</v>
      </c>
      <c r="F37" s="175">
        <f t="shared" si="5"/>
        <v>20</v>
      </c>
    </row>
    <row r="38" spans="1:6" x14ac:dyDescent="0.25">
      <c r="A38" s="54">
        <f t="shared" si="6"/>
        <v>68</v>
      </c>
      <c r="B38" s="55">
        <f t="shared" si="1"/>
        <v>-12</v>
      </c>
      <c r="C38" s="56">
        <f t="shared" si="2"/>
        <v>32</v>
      </c>
      <c r="D38" s="56">
        <f t="shared" si="3"/>
        <v>0</v>
      </c>
      <c r="E38" s="56">
        <f t="shared" si="4"/>
        <v>0</v>
      </c>
      <c r="F38" s="175">
        <f t="shared" si="5"/>
        <v>20</v>
      </c>
    </row>
    <row r="39" spans="1:6" x14ac:dyDescent="0.25">
      <c r="A39" s="54">
        <f t="shared" si="6"/>
        <v>70</v>
      </c>
      <c r="B39" s="55">
        <f t="shared" si="1"/>
        <v>-10</v>
      </c>
      <c r="C39" s="56">
        <f t="shared" si="2"/>
        <v>30</v>
      </c>
      <c r="D39" s="56">
        <f t="shared" si="3"/>
        <v>0</v>
      </c>
      <c r="E39" s="56">
        <f t="shared" si="4"/>
        <v>0</v>
      </c>
      <c r="F39" s="175">
        <f t="shared" si="5"/>
        <v>20</v>
      </c>
    </row>
    <row r="40" spans="1:6" x14ac:dyDescent="0.25">
      <c r="A40" s="54">
        <f t="shared" si="6"/>
        <v>72</v>
      </c>
      <c r="B40" s="55">
        <f t="shared" si="1"/>
        <v>-8</v>
      </c>
      <c r="C40" s="56">
        <f t="shared" si="2"/>
        <v>28</v>
      </c>
      <c r="D40" s="56">
        <f t="shared" si="3"/>
        <v>0</v>
      </c>
      <c r="E40" s="56">
        <f t="shared" si="4"/>
        <v>0</v>
      </c>
      <c r="F40" s="175">
        <f t="shared" si="5"/>
        <v>20</v>
      </c>
    </row>
    <row r="41" spans="1:6" x14ac:dyDescent="0.25">
      <c r="A41" s="54">
        <f t="shared" si="6"/>
        <v>74</v>
      </c>
      <c r="B41" s="55">
        <f t="shared" si="1"/>
        <v>-6</v>
      </c>
      <c r="C41" s="56">
        <f t="shared" si="2"/>
        <v>26</v>
      </c>
      <c r="D41" s="56">
        <f t="shared" si="3"/>
        <v>0</v>
      </c>
      <c r="E41" s="56">
        <f t="shared" si="4"/>
        <v>0</v>
      </c>
      <c r="F41" s="175">
        <f t="shared" si="5"/>
        <v>20</v>
      </c>
    </row>
    <row r="42" spans="1:6" x14ac:dyDescent="0.25">
      <c r="A42" s="54">
        <f t="shared" si="6"/>
        <v>76</v>
      </c>
      <c r="B42" s="55">
        <f t="shared" si="1"/>
        <v>-4</v>
      </c>
      <c r="C42" s="56">
        <f t="shared" si="2"/>
        <v>24</v>
      </c>
      <c r="D42" s="56">
        <f t="shared" si="3"/>
        <v>0</v>
      </c>
      <c r="E42" s="56">
        <f t="shared" si="4"/>
        <v>0</v>
      </c>
      <c r="F42" s="175">
        <f t="shared" si="5"/>
        <v>20</v>
      </c>
    </row>
    <row r="43" spans="1:6" x14ac:dyDescent="0.25">
      <c r="A43" s="54">
        <f t="shared" si="6"/>
        <v>78</v>
      </c>
      <c r="B43" s="55">
        <f t="shared" si="1"/>
        <v>-2</v>
      </c>
      <c r="C43" s="56">
        <f t="shared" si="2"/>
        <v>22</v>
      </c>
      <c r="D43" s="56">
        <f t="shared" si="3"/>
        <v>0</v>
      </c>
      <c r="E43" s="56">
        <f t="shared" si="4"/>
        <v>0</v>
      </c>
      <c r="F43" s="175">
        <f t="shared" si="5"/>
        <v>20</v>
      </c>
    </row>
    <row r="44" spans="1:6" x14ac:dyDescent="0.25">
      <c r="A44" s="54">
        <f t="shared" si="6"/>
        <v>80</v>
      </c>
      <c r="B44" s="55">
        <f t="shared" si="1"/>
        <v>0</v>
      </c>
      <c r="C44" s="56">
        <f t="shared" si="2"/>
        <v>20</v>
      </c>
      <c r="D44" s="56">
        <f t="shared" si="3"/>
        <v>0</v>
      </c>
      <c r="E44" s="56">
        <f t="shared" si="4"/>
        <v>0</v>
      </c>
      <c r="F44" s="175">
        <f t="shared" si="5"/>
        <v>20</v>
      </c>
    </row>
    <row r="45" spans="1:6" x14ac:dyDescent="0.25">
      <c r="A45" s="54">
        <f t="shared" si="6"/>
        <v>82</v>
      </c>
      <c r="B45" s="55">
        <f t="shared" si="1"/>
        <v>0</v>
      </c>
      <c r="C45" s="56">
        <f t="shared" si="2"/>
        <v>18</v>
      </c>
      <c r="D45" s="56">
        <f t="shared" si="3"/>
        <v>0</v>
      </c>
      <c r="E45" s="56">
        <f t="shared" si="4"/>
        <v>0</v>
      </c>
      <c r="F45" s="175">
        <f t="shared" si="5"/>
        <v>18</v>
      </c>
    </row>
    <row r="46" spans="1:6" x14ac:dyDescent="0.25">
      <c r="A46" s="54">
        <f t="shared" si="6"/>
        <v>84</v>
      </c>
      <c r="B46" s="55">
        <f t="shared" si="1"/>
        <v>0</v>
      </c>
      <c r="C46" s="56">
        <f t="shared" si="2"/>
        <v>16</v>
      </c>
      <c r="D46" s="56">
        <f t="shared" si="3"/>
        <v>0</v>
      </c>
      <c r="E46" s="56">
        <f t="shared" si="4"/>
        <v>0</v>
      </c>
      <c r="F46" s="175">
        <f t="shared" si="5"/>
        <v>16</v>
      </c>
    </row>
    <row r="47" spans="1:6" x14ac:dyDescent="0.25">
      <c r="A47" s="54">
        <f t="shared" si="6"/>
        <v>86</v>
      </c>
      <c r="B47" s="55">
        <f t="shared" si="1"/>
        <v>0</v>
      </c>
      <c r="C47" s="56">
        <f t="shared" si="2"/>
        <v>14</v>
      </c>
      <c r="D47" s="56">
        <f t="shared" si="3"/>
        <v>0</v>
      </c>
      <c r="E47" s="56">
        <f t="shared" si="4"/>
        <v>0</v>
      </c>
      <c r="F47" s="175">
        <f t="shared" si="5"/>
        <v>14</v>
      </c>
    </row>
    <row r="48" spans="1:6" x14ac:dyDescent="0.25">
      <c r="A48" s="54">
        <f t="shared" si="6"/>
        <v>88</v>
      </c>
      <c r="B48" s="55">
        <f t="shared" si="1"/>
        <v>0</v>
      </c>
      <c r="C48" s="56">
        <f t="shared" si="2"/>
        <v>12</v>
      </c>
      <c r="D48" s="56">
        <f t="shared" si="3"/>
        <v>0</v>
      </c>
      <c r="E48" s="56">
        <f t="shared" si="4"/>
        <v>0</v>
      </c>
      <c r="F48" s="175">
        <f t="shared" si="5"/>
        <v>12</v>
      </c>
    </row>
    <row r="49" spans="1:6" x14ac:dyDescent="0.25">
      <c r="A49" s="54">
        <f t="shared" si="6"/>
        <v>90</v>
      </c>
      <c r="B49" s="55">
        <f t="shared" si="1"/>
        <v>0</v>
      </c>
      <c r="C49" s="56">
        <f t="shared" si="2"/>
        <v>10</v>
      </c>
      <c r="D49" s="56">
        <f t="shared" si="3"/>
        <v>0</v>
      </c>
      <c r="E49" s="56">
        <f t="shared" si="4"/>
        <v>0</v>
      </c>
      <c r="F49" s="175">
        <f t="shared" si="5"/>
        <v>10</v>
      </c>
    </row>
    <row r="50" spans="1:6" x14ac:dyDescent="0.25">
      <c r="A50" s="54">
        <f t="shared" si="6"/>
        <v>92</v>
      </c>
      <c r="B50" s="55">
        <f t="shared" si="1"/>
        <v>0</v>
      </c>
      <c r="C50" s="56">
        <f t="shared" si="2"/>
        <v>8</v>
      </c>
      <c r="D50" s="56">
        <f t="shared" si="3"/>
        <v>0</v>
      </c>
      <c r="E50" s="56">
        <f t="shared" si="4"/>
        <v>0</v>
      </c>
      <c r="F50" s="175">
        <f t="shared" si="5"/>
        <v>8</v>
      </c>
    </row>
    <row r="51" spans="1:6" x14ac:dyDescent="0.25">
      <c r="A51" s="54">
        <f t="shared" si="6"/>
        <v>94</v>
      </c>
      <c r="B51" s="55">
        <f t="shared" si="1"/>
        <v>0</v>
      </c>
      <c r="C51" s="56">
        <f t="shared" si="2"/>
        <v>6</v>
      </c>
      <c r="D51" s="56">
        <f t="shared" si="3"/>
        <v>0</v>
      </c>
      <c r="E51" s="56">
        <f t="shared" si="4"/>
        <v>0</v>
      </c>
      <c r="F51" s="175">
        <f t="shared" si="5"/>
        <v>6</v>
      </c>
    </row>
    <row r="52" spans="1:6" x14ac:dyDescent="0.25">
      <c r="A52" s="54">
        <f t="shared" si="6"/>
        <v>96</v>
      </c>
      <c r="B52" s="55">
        <f t="shared" si="1"/>
        <v>0</v>
      </c>
      <c r="C52" s="56">
        <f t="shared" si="2"/>
        <v>4</v>
      </c>
      <c r="D52" s="56">
        <f t="shared" si="3"/>
        <v>0</v>
      </c>
      <c r="E52" s="56">
        <f t="shared" si="4"/>
        <v>0</v>
      </c>
      <c r="F52" s="175">
        <f t="shared" si="5"/>
        <v>4</v>
      </c>
    </row>
    <row r="53" spans="1:6" x14ac:dyDescent="0.25">
      <c r="A53" s="54">
        <f t="shared" si="6"/>
        <v>98</v>
      </c>
      <c r="B53" s="55">
        <f t="shared" si="1"/>
        <v>0</v>
      </c>
      <c r="C53" s="56">
        <f t="shared" si="2"/>
        <v>2</v>
      </c>
      <c r="D53" s="56">
        <f t="shared" si="3"/>
        <v>0</v>
      </c>
      <c r="E53" s="56">
        <f t="shared" si="4"/>
        <v>0</v>
      </c>
      <c r="F53" s="175">
        <f t="shared" si="5"/>
        <v>2</v>
      </c>
    </row>
    <row r="54" spans="1:6" x14ac:dyDescent="0.25">
      <c r="A54" s="54">
        <f t="shared" si="6"/>
        <v>100</v>
      </c>
      <c r="B54" s="55">
        <f t="shared" si="1"/>
        <v>0</v>
      </c>
      <c r="C54" s="56">
        <f t="shared" si="2"/>
        <v>0</v>
      </c>
      <c r="D54" s="56">
        <f t="shared" si="3"/>
        <v>0</v>
      </c>
      <c r="E54" s="56">
        <f t="shared" si="4"/>
        <v>0</v>
      </c>
      <c r="F54" s="175">
        <f t="shared" si="5"/>
        <v>0</v>
      </c>
    </row>
    <row r="55" spans="1:6" x14ac:dyDescent="0.25">
      <c r="A55" s="54">
        <f t="shared" si="6"/>
        <v>102</v>
      </c>
      <c r="B55" s="55">
        <f t="shared" si="1"/>
        <v>0</v>
      </c>
      <c r="C55" s="56">
        <f t="shared" si="2"/>
        <v>0</v>
      </c>
      <c r="D55" s="56">
        <f t="shared" si="3"/>
        <v>0</v>
      </c>
      <c r="E55" s="56">
        <f t="shared" si="4"/>
        <v>2</v>
      </c>
      <c r="F55" s="175">
        <f t="shared" si="5"/>
        <v>2</v>
      </c>
    </row>
    <row r="56" spans="1:6" x14ac:dyDescent="0.25">
      <c r="A56" s="54">
        <f t="shared" si="6"/>
        <v>104</v>
      </c>
      <c r="B56" s="55">
        <f t="shared" si="1"/>
        <v>0</v>
      </c>
      <c r="C56" s="56">
        <f t="shared" si="2"/>
        <v>0</v>
      </c>
      <c r="D56" s="56">
        <f t="shared" si="3"/>
        <v>0</v>
      </c>
      <c r="E56" s="56">
        <f t="shared" si="4"/>
        <v>4</v>
      </c>
      <c r="F56" s="175">
        <f t="shared" si="5"/>
        <v>4</v>
      </c>
    </row>
    <row r="57" spans="1:6" x14ac:dyDescent="0.25">
      <c r="A57" s="54">
        <f t="shared" si="6"/>
        <v>106</v>
      </c>
      <c r="B57" s="55">
        <f t="shared" si="1"/>
        <v>0</v>
      </c>
      <c r="C57" s="56">
        <f t="shared" si="2"/>
        <v>0</v>
      </c>
      <c r="D57" s="56">
        <f t="shared" si="3"/>
        <v>0</v>
      </c>
      <c r="E57" s="56">
        <f t="shared" si="4"/>
        <v>6</v>
      </c>
      <c r="F57" s="175">
        <f t="shared" si="5"/>
        <v>6</v>
      </c>
    </row>
    <row r="58" spans="1:6" x14ac:dyDescent="0.25">
      <c r="A58" s="54">
        <f t="shared" si="6"/>
        <v>108</v>
      </c>
      <c r="B58" s="55">
        <f t="shared" si="1"/>
        <v>0</v>
      </c>
      <c r="C58" s="56">
        <f t="shared" si="2"/>
        <v>0</v>
      </c>
      <c r="D58" s="56">
        <f t="shared" si="3"/>
        <v>0</v>
      </c>
      <c r="E58" s="56">
        <f t="shared" si="4"/>
        <v>8</v>
      </c>
      <c r="F58" s="175">
        <f t="shared" si="5"/>
        <v>8</v>
      </c>
    </row>
    <row r="59" spans="1:6" x14ac:dyDescent="0.25">
      <c r="A59" s="54">
        <f t="shared" si="6"/>
        <v>110</v>
      </c>
      <c r="B59" s="55">
        <f t="shared" si="1"/>
        <v>0</v>
      </c>
      <c r="C59" s="56">
        <f t="shared" si="2"/>
        <v>0</v>
      </c>
      <c r="D59" s="56">
        <f t="shared" si="3"/>
        <v>0</v>
      </c>
      <c r="E59" s="56">
        <f t="shared" si="4"/>
        <v>10</v>
      </c>
      <c r="F59" s="175">
        <f t="shared" si="5"/>
        <v>10</v>
      </c>
    </row>
    <row r="60" spans="1:6" x14ac:dyDescent="0.25">
      <c r="A60" s="54">
        <f t="shared" si="6"/>
        <v>112</v>
      </c>
      <c r="B60" s="55">
        <f t="shared" si="1"/>
        <v>0</v>
      </c>
      <c r="C60" s="56">
        <f t="shared" si="2"/>
        <v>0</v>
      </c>
      <c r="D60" s="56">
        <f t="shared" si="3"/>
        <v>0</v>
      </c>
      <c r="E60" s="56">
        <f t="shared" si="4"/>
        <v>12</v>
      </c>
      <c r="F60" s="175">
        <f t="shared" si="5"/>
        <v>12</v>
      </c>
    </row>
    <row r="61" spans="1:6" x14ac:dyDescent="0.25">
      <c r="A61" s="54">
        <f t="shared" si="6"/>
        <v>114</v>
      </c>
      <c r="B61" s="55">
        <f t="shared" si="1"/>
        <v>0</v>
      </c>
      <c r="C61" s="56">
        <f t="shared" si="2"/>
        <v>0</v>
      </c>
      <c r="D61" s="56">
        <f t="shared" si="3"/>
        <v>0</v>
      </c>
      <c r="E61" s="56">
        <f t="shared" si="4"/>
        <v>14</v>
      </c>
      <c r="F61" s="175">
        <f t="shared" si="5"/>
        <v>14</v>
      </c>
    </row>
    <row r="62" spans="1:6" x14ac:dyDescent="0.25">
      <c r="A62" s="54">
        <f t="shared" si="6"/>
        <v>116</v>
      </c>
      <c r="B62" s="55">
        <f t="shared" si="1"/>
        <v>0</v>
      </c>
      <c r="C62" s="56">
        <f t="shared" si="2"/>
        <v>0</v>
      </c>
      <c r="D62" s="56">
        <f t="shared" si="3"/>
        <v>0</v>
      </c>
      <c r="E62" s="56">
        <f t="shared" si="4"/>
        <v>16</v>
      </c>
      <c r="F62" s="175">
        <f t="shared" si="5"/>
        <v>16</v>
      </c>
    </row>
    <row r="63" spans="1:6" x14ac:dyDescent="0.25">
      <c r="A63" s="54">
        <f t="shared" si="6"/>
        <v>118</v>
      </c>
      <c r="B63" s="55">
        <f t="shared" si="1"/>
        <v>0</v>
      </c>
      <c r="C63" s="56">
        <f t="shared" si="2"/>
        <v>0</v>
      </c>
      <c r="D63" s="56">
        <f t="shared" si="3"/>
        <v>0</v>
      </c>
      <c r="E63" s="56">
        <f t="shared" si="4"/>
        <v>18</v>
      </c>
      <c r="F63" s="175">
        <f t="shared" si="5"/>
        <v>18</v>
      </c>
    </row>
    <row r="64" spans="1:6" x14ac:dyDescent="0.25">
      <c r="A64" s="54">
        <f t="shared" si="6"/>
        <v>120</v>
      </c>
      <c r="B64" s="55">
        <f t="shared" si="1"/>
        <v>0</v>
      </c>
      <c r="C64" s="56">
        <f t="shared" si="2"/>
        <v>0</v>
      </c>
      <c r="D64" s="56">
        <f t="shared" si="3"/>
        <v>0</v>
      </c>
      <c r="E64" s="56">
        <f t="shared" si="4"/>
        <v>20</v>
      </c>
      <c r="F64" s="175">
        <f t="shared" si="5"/>
        <v>20</v>
      </c>
    </row>
    <row r="65" spans="1:6" x14ac:dyDescent="0.25">
      <c r="A65" s="54">
        <f t="shared" si="6"/>
        <v>122</v>
      </c>
      <c r="B65" s="55">
        <f t="shared" si="1"/>
        <v>0</v>
      </c>
      <c r="C65" s="56">
        <f t="shared" si="2"/>
        <v>0</v>
      </c>
      <c r="D65" s="56">
        <f t="shared" si="3"/>
        <v>-2</v>
      </c>
      <c r="E65" s="56">
        <f t="shared" si="4"/>
        <v>22</v>
      </c>
      <c r="F65" s="175">
        <f t="shared" si="5"/>
        <v>20</v>
      </c>
    </row>
    <row r="66" spans="1:6" x14ac:dyDescent="0.25">
      <c r="A66" s="54">
        <f t="shared" si="6"/>
        <v>124</v>
      </c>
      <c r="B66" s="55">
        <f t="shared" si="1"/>
        <v>0</v>
      </c>
      <c r="C66" s="56">
        <f t="shared" si="2"/>
        <v>0</v>
      </c>
      <c r="D66" s="56">
        <f t="shared" si="3"/>
        <v>-4</v>
      </c>
      <c r="E66" s="56">
        <f t="shared" si="4"/>
        <v>24</v>
      </c>
      <c r="F66" s="175">
        <f t="shared" si="5"/>
        <v>20</v>
      </c>
    </row>
    <row r="67" spans="1:6" x14ac:dyDescent="0.25">
      <c r="A67" s="54">
        <f t="shared" si="6"/>
        <v>126</v>
      </c>
      <c r="B67" s="55">
        <f t="shared" si="1"/>
        <v>0</v>
      </c>
      <c r="C67" s="56">
        <f t="shared" si="2"/>
        <v>0</v>
      </c>
      <c r="D67" s="56">
        <f t="shared" si="3"/>
        <v>-6</v>
      </c>
      <c r="E67" s="56">
        <f t="shared" si="4"/>
        <v>26</v>
      </c>
      <c r="F67" s="175">
        <f t="shared" si="5"/>
        <v>20</v>
      </c>
    </row>
    <row r="68" spans="1:6" x14ac:dyDescent="0.25">
      <c r="A68" s="54">
        <f t="shared" si="6"/>
        <v>128</v>
      </c>
      <c r="B68" s="55">
        <f t="shared" si="1"/>
        <v>0</v>
      </c>
      <c r="C68" s="56">
        <f t="shared" si="2"/>
        <v>0</v>
      </c>
      <c r="D68" s="56">
        <f t="shared" si="3"/>
        <v>-8</v>
      </c>
      <c r="E68" s="56">
        <f t="shared" si="4"/>
        <v>28</v>
      </c>
      <c r="F68" s="175">
        <f t="shared" si="5"/>
        <v>20</v>
      </c>
    </row>
    <row r="69" spans="1:6" x14ac:dyDescent="0.25">
      <c r="A69" s="54">
        <f t="shared" si="6"/>
        <v>130</v>
      </c>
      <c r="B69" s="55">
        <f t="shared" ref="B69:B104" si="7">(MAX(IF($B$1="C",1,-1)*(A69-$K$5),0)-IF($K$10="Y",$K$13*EXP($K$6*$K$9),0))*$K$4</f>
        <v>0</v>
      </c>
      <c r="C69" s="56">
        <f t="shared" ref="C69:C104" si="8">(MAX(IF($C$1="C",1,-1)*(A69-$L$5),0)-IF($K$10="Y",$L$13*EXP($K$6*$K$9),0))*$L$4</f>
        <v>0</v>
      </c>
      <c r="D69" s="56">
        <f t="shared" ref="D69:D104" si="9">(MAX(IF($D$1="C",1,-1)*(A69-$M$5),0)-IF($K$10="Y",$M$13*EXP($K$6*$K$9),0))*$M$4</f>
        <v>-10</v>
      </c>
      <c r="E69" s="56">
        <f t="shared" ref="E69:E104" si="10">(MAX(IF($E$1="C",1,-1)*(A69-$N$5),0)-IF($K$10="Y",$N$13*EXP($K$6*$K$9),0))*$N$4</f>
        <v>30</v>
      </c>
      <c r="F69" s="175">
        <f t="shared" ref="F69:F104" si="11">SUM(B69:E69)</f>
        <v>20</v>
      </c>
    </row>
    <row r="70" spans="1:6" x14ac:dyDescent="0.25">
      <c r="A70" s="54">
        <f t="shared" ref="A70:A104" si="12">A69+2</f>
        <v>132</v>
      </c>
      <c r="B70" s="55">
        <f t="shared" si="7"/>
        <v>0</v>
      </c>
      <c r="C70" s="56">
        <f t="shared" si="8"/>
        <v>0</v>
      </c>
      <c r="D70" s="56">
        <f t="shared" si="9"/>
        <v>-12</v>
      </c>
      <c r="E70" s="56">
        <f t="shared" si="10"/>
        <v>32</v>
      </c>
      <c r="F70" s="175">
        <f t="shared" si="11"/>
        <v>20</v>
      </c>
    </row>
    <row r="71" spans="1:6" x14ac:dyDescent="0.25">
      <c r="A71" s="54">
        <f t="shared" si="12"/>
        <v>134</v>
      </c>
      <c r="B71" s="55">
        <f t="shared" si="7"/>
        <v>0</v>
      </c>
      <c r="C71" s="56">
        <f t="shared" si="8"/>
        <v>0</v>
      </c>
      <c r="D71" s="56">
        <f t="shared" si="9"/>
        <v>-14</v>
      </c>
      <c r="E71" s="56">
        <f t="shared" si="10"/>
        <v>34</v>
      </c>
      <c r="F71" s="175">
        <f t="shared" si="11"/>
        <v>20</v>
      </c>
    </row>
    <row r="72" spans="1:6" x14ac:dyDescent="0.25">
      <c r="A72" s="54">
        <f t="shared" si="12"/>
        <v>136</v>
      </c>
      <c r="B72" s="55">
        <f t="shared" si="7"/>
        <v>0</v>
      </c>
      <c r="C72" s="56">
        <f t="shared" si="8"/>
        <v>0</v>
      </c>
      <c r="D72" s="56">
        <f t="shared" si="9"/>
        <v>-16</v>
      </c>
      <c r="E72" s="56">
        <f t="shared" si="10"/>
        <v>36</v>
      </c>
      <c r="F72" s="175">
        <f t="shared" si="11"/>
        <v>20</v>
      </c>
    </row>
    <row r="73" spans="1:6" x14ac:dyDescent="0.25">
      <c r="A73" s="54">
        <f t="shared" si="12"/>
        <v>138</v>
      </c>
      <c r="B73" s="55">
        <f t="shared" si="7"/>
        <v>0</v>
      </c>
      <c r="C73" s="56">
        <f t="shared" si="8"/>
        <v>0</v>
      </c>
      <c r="D73" s="56">
        <f t="shared" si="9"/>
        <v>-18</v>
      </c>
      <c r="E73" s="56">
        <f t="shared" si="10"/>
        <v>38</v>
      </c>
      <c r="F73" s="175">
        <f t="shared" si="11"/>
        <v>20</v>
      </c>
    </row>
    <row r="74" spans="1:6" x14ac:dyDescent="0.25">
      <c r="A74" s="54">
        <f t="shared" si="12"/>
        <v>140</v>
      </c>
      <c r="B74" s="55">
        <f t="shared" si="7"/>
        <v>0</v>
      </c>
      <c r="C74" s="56">
        <f t="shared" si="8"/>
        <v>0</v>
      </c>
      <c r="D74" s="56">
        <f t="shared" si="9"/>
        <v>-20</v>
      </c>
      <c r="E74" s="56">
        <f t="shared" si="10"/>
        <v>40</v>
      </c>
      <c r="F74" s="175">
        <f t="shared" si="11"/>
        <v>20</v>
      </c>
    </row>
    <row r="75" spans="1:6" x14ac:dyDescent="0.25">
      <c r="A75" s="54">
        <f t="shared" si="12"/>
        <v>142</v>
      </c>
      <c r="B75" s="55">
        <f t="shared" si="7"/>
        <v>0</v>
      </c>
      <c r="C75" s="56">
        <f t="shared" si="8"/>
        <v>0</v>
      </c>
      <c r="D75" s="56">
        <f t="shared" si="9"/>
        <v>-22</v>
      </c>
      <c r="E75" s="56">
        <f t="shared" si="10"/>
        <v>42</v>
      </c>
      <c r="F75" s="175">
        <f t="shared" si="11"/>
        <v>20</v>
      </c>
    </row>
    <row r="76" spans="1:6" x14ac:dyDescent="0.25">
      <c r="A76" s="54">
        <f t="shared" si="12"/>
        <v>144</v>
      </c>
      <c r="B76" s="55">
        <f t="shared" si="7"/>
        <v>0</v>
      </c>
      <c r="C76" s="56">
        <f t="shared" si="8"/>
        <v>0</v>
      </c>
      <c r="D76" s="56">
        <f t="shared" si="9"/>
        <v>-24</v>
      </c>
      <c r="E76" s="56">
        <f t="shared" si="10"/>
        <v>44</v>
      </c>
      <c r="F76" s="175">
        <f t="shared" si="11"/>
        <v>20</v>
      </c>
    </row>
    <row r="77" spans="1:6" x14ac:dyDescent="0.25">
      <c r="A77" s="54">
        <f t="shared" si="12"/>
        <v>146</v>
      </c>
      <c r="B77" s="55">
        <f t="shared" si="7"/>
        <v>0</v>
      </c>
      <c r="C77" s="56">
        <f t="shared" si="8"/>
        <v>0</v>
      </c>
      <c r="D77" s="56">
        <f t="shared" si="9"/>
        <v>-26</v>
      </c>
      <c r="E77" s="56">
        <f t="shared" si="10"/>
        <v>46</v>
      </c>
      <c r="F77" s="175">
        <f t="shared" si="11"/>
        <v>20</v>
      </c>
    </row>
    <row r="78" spans="1:6" x14ac:dyDescent="0.25">
      <c r="A78" s="54">
        <f t="shared" si="12"/>
        <v>148</v>
      </c>
      <c r="B78" s="55">
        <f t="shared" si="7"/>
        <v>0</v>
      </c>
      <c r="C78" s="56">
        <f t="shared" si="8"/>
        <v>0</v>
      </c>
      <c r="D78" s="56">
        <f t="shared" si="9"/>
        <v>-28</v>
      </c>
      <c r="E78" s="56">
        <f t="shared" si="10"/>
        <v>48</v>
      </c>
      <c r="F78" s="175">
        <f t="shared" si="11"/>
        <v>20</v>
      </c>
    </row>
    <row r="79" spans="1:6" x14ac:dyDescent="0.25">
      <c r="A79" s="54">
        <f t="shared" si="12"/>
        <v>150</v>
      </c>
      <c r="B79" s="55">
        <f t="shared" si="7"/>
        <v>0</v>
      </c>
      <c r="C79" s="56">
        <f t="shared" si="8"/>
        <v>0</v>
      </c>
      <c r="D79" s="56">
        <f t="shared" si="9"/>
        <v>-30</v>
      </c>
      <c r="E79" s="56">
        <f t="shared" si="10"/>
        <v>50</v>
      </c>
      <c r="F79" s="175">
        <f t="shared" si="11"/>
        <v>20</v>
      </c>
    </row>
    <row r="80" spans="1:6" x14ac:dyDescent="0.25">
      <c r="A80" s="54">
        <f t="shared" si="12"/>
        <v>152</v>
      </c>
      <c r="B80" s="55">
        <f t="shared" si="7"/>
        <v>0</v>
      </c>
      <c r="C80" s="56">
        <f t="shared" si="8"/>
        <v>0</v>
      </c>
      <c r="D80" s="56">
        <f t="shared" si="9"/>
        <v>-32</v>
      </c>
      <c r="E80" s="56">
        <f t="shared" si="10"/>
        <v>52</v>
      </c>
      <c r="F80" s="175">
        <f t="shared" si="11"/>
        <v>20</v>
      </c>
    </row>
    <row r="81" spans="1:6" x14ac:dyDescent="0.25">
      <c r="A81" s="54">
        <f t="shared" si="12"/>
        <v>154</v>
      </c>
      <c r="B81" s="55">
        <f t="shared" si="7"/>
        <v>0</v>
      </c>
      <c r="C81" s="56">
        <f t="shared" si="8"/>
        <v>0</v>
      </c>
      <c r="D81" s="56">
        <f t="shared" si="9"/>
        <v>-34</v>
      </c>
      <c r="E81" s="56">
        <f t="shared" si="10"/>
        <v>54</v>
      </c>
      <c r="F81" s="175">
        <f t="shared" si="11"/>
        <v>20</v>
      </c>
    </row>
    <row r="82" spans="1:6" x14ac:dyDescent="0.25">
      <c r="A82" s="54">
        <f t="shared" si="12"/>
        <v>156</v>
      </c>
      <c r="B82" s="55">
        <f t="shared" si="7"/>
        <v>0</v>
      </c>
      <c r="C82" s="56">
        <f t="shared" si="8"/>
        <v>0</v>
      </c>
      <c r="D82" s="56">
        <f t="shared" si="9"/>
        <v>-36</v>
      </c>
      <c r="E82" s="56">
        <f t="shared" si="10"/>
        <v>56</v>
      </c>
      <c r="F82" s="175">
        <f t="shared" si="11"/>
        <v>20</v>
      </c>
    </row>
    <row r="83" spans="1:6" x14ac:dyDescent="0.25">
      <c r="A83" s="54">
        <f t="shared" si="12"/>
        <v>158</v>
      </c>
      <c r="B83" s="55">
        <f t="shared" si="7"/>
        <v>0</v>
      </c>
      <c r="C83" s="56">
        <f t="shared" si="8"/>
        <v>0</v>
      </c>
      <c r="D83" s="56">
        <f t="shared" si="9"/>
        <v>-38</v>
      </c>
      <c r="E83" s="56">
        <f t="shared" si="10"/>
        <v>58</v>
      </c>
      <c r="F83" s="175">
        <f t="shared" si="11"/>
        <v>20</v>
      </c>
    </row>
    <row r="84" spans="1:6" x14ac:dyDescent="0.25">
      <c r="A84" s="54">
        <f t="shared" si="12"/>
        <v>160</v>
      </c>
      <c r="B84" s="55">
        <f t="shared" si="7"/>
        <v>0</v>
      </c>
      <c r="C84" s="56">
        <f t="shared" si="8"/>
        <v>0</v>
      </c>
      <c r="D84" s="56">
        <f t="shared" si="9"/>
        <v>-40</v>
      </c>
      <c r="E84" s="56">
        <f t="shared" si="10"/>
        <v>60</v>
      </c>
      <c r="F84" s="175">
        <f t="shared" si="11"/>
        <v>20</v>
      </c>
    </row>
    <row r="85" spans="1:6" x14ac:dyDescent="0.25">
      <c r="A85" s="54">
        <f t="shared" si="12"/>
        <v>162</v>
      </c>
      <c r="B85" s="55">
        <f t="shared" si="7"/>
        <v>0</v>
      </c>
      <c r="C85" s="56">
        <f t="shared" si="8"/>
        <v>0</v>
      </c>
      <c r="D85" s="56">
        <f t="shared" si="9"/>
        <v>-42</v>
      </c>
      <c r="E85" s="56">
        <f t="shared" si="10"/>
        <v>62</v>
      </c>
      <c r="F85" s="175">
        <f t="shared" si="11"/>
        <v>20</v>
      </c>
    </row>
    <row r="86" spans="1:6" x14ac:dyDescent="0.25">
      <c r="A86" s="54">
        <f t="shared" si="12"/>
        <v>164</v>
      </c>
      <c r="B86" s="55">
        <f t="shared" si="7"/>
        <v>0</v>
      </c>
      <c r="C86" s="56">
        <f t="shared" si="8"/>
        <v>0</v>
      </c>
      <c r="D86" s="56">
        <f t="shared" si="9"/>
        <v>-44</v>
      </c>
      <c r="E86" s="56">
        <f t="shared" si="10"/>
        <v>64</v>
      </c>
      <c r="F86" s="175">
        <f t="shared" si="11"/>
        <v>20</v>
      </c>
    </row>
    <row r="87" spans="1:6" x14ac:dyDescent="0.25">
      <c r="A87" s="54">
        <f t="shared" si="12"/>
        <v>166</v>
      </c>
      <c r="B87" s="55">
        <f t="shared" si="7"/>
        <v>0</v>
      </c>
      <c r="C87" s="56">
        <f t="shared" si="8"/>
        <v>0</v>
      </c>
      <c r="D87" s="56">
        <f t="shared" si="9"/>
        <v>-46</v>
      </c>
      <c r="E87" s="56">
        <f t="shared" si="10"/>
        <v>66</v>
      </c>
      <c r="F87" s="175">
        <f t="shared" si="11"/>
        <v>20</v>
      </c>
    </row>
    <row r="88" spans="1:6" x14ac:dyDescent="0.25">
      <c r="A88" s="54">
        <f t="shared" si="12"/>
        <v>168</v>
      </c>
      <c r="B88" s="55">
        <f t="shared" si="7"/>
        <v>0</v>
      </c>
      <c r="C88" s="56">
        <f t="shared" si="8"/>
        <v>0</v>
      </c>
      <c r="D88" s="56">
        <f t="shared" si="9"/>
        <v>-48</v>
      </c>
      <c r="E88" s="56">
        <f t="shared" si="10"/>
        <v>68</v>
      </c>
      <c r="F88" s="175">
        <f t="shared" si="11"/>
        <v>20</v>
      </c>
    </row>
    <row r="89" spans="1:6" x14ac:dyDescent="0.25">
      <c r="A89" s="54">
        <f t="shared" si="12"/>
        <v>170</v>
      </c>
      <c r="B89" s="55">
        <f t="shared" si="7"/>
        <v>0</v>
      </c>
      <c r="C89" s="56">
        <f t="shared" si="8"/>
        <v>0</v>
      </c>
      <c r="D89" s="56">
        <f t="shared" si="9"/>
        <v>-50</v>
      </c>
      <c r="E89" s="56">
        <f t="shared" si="10"/>
        <v>70</v>
      </c>
      <c r="F89" s="175">
        <f t="shared" si="11"/>
        <v>20</v>
      </c>
    </row>
    <row r="90" spans="1:6" x14ac:dyDescent="0.25">
      <c r="A90" s="54">
        <f t="shared" si="12"/>
        <v>172</v>
      </c>
      <c r="B90" s="55">
        <f t="shared" si="7"/>
        <v>0</v>
      </c>
      <c r="C90" s="56">
        <f t="shared" si="8"/>
        <v>0</v>
      </c>
      <c r="D90" s="56">
        <f t="shared" si="9"/>
        <v>-52</v>
      </c>
      <c r="E90" s="56">
        <f t="shared" si="10"/>
        <v>72</v>
      </c>
      <c r="F90" s="175">
        <f t="shared" si="11"/>
        <v>20</v>
      </c>
    </row>
    <row r="91" spans="1:6" x14ac:dyDescent="0.25">
      <c r="A91" s="54">
        <f t="shared" si="12"/>
        <v>174</v>
      </c>
      <c r="B91" s="55">
        <f t="shared" si="7"/>
        <v>0</v>
      </c>
      <c r="C91" s="56">
        <f t="shared" si="8"/>
        <v>0</v>
      </c>
      <c r="D91" s="56">
        <f t="shared" si="9"/>
        <v>-54</v>
      </c>
      <c r="E91" s="56">
        <f t="shared" si="10"/>
        <v>74</v>
      </c>
      <c r="F91" s="175">
        <f t="shared" si="11"/>
        <v>20</v>
      </c>
    </row>
    <row r="92" spans="1:6" x14ac:dyDescent="0.25">
      <c r="A92" s="54">
        <f t="shared" si="12"/>
        <v>176</v>
      </c>
      <c r="B92" s="55">
        <f t="shared" si="7"/>
        <v>0</v>
      </c>
      <c r="C92" s="56">
        <f t="shared" si="8"/>
        <v>0</v>
      </c>
      <c r="D92" s="56">
        <f t="shared" si="9"/>
        <v>-56</v>
      </c>
      <c r="E92" s="56">
        <f t="shared" si="10"/>
        <v>76</v>
      </c>
      <c r="F92" s="175">
        <f t="shared" si="11"/>
        <v>20</v>
      </c>
    </row>
    <row r="93" spans="1:6" x14ac:dyDescent="0.25">
      <c r="A93" s="54">
        <f t="shared" si="12"/>
        <v>178</v>
      </c>
      <c r="B93" s="55">
        <f t="shared" si="7"/>
        <v>0</v>
      </c>
      <c r="C93" s="56">
        <f t="shared" si="8"/>
        <v>0</v>
      </c>
      <c r="D93" s="56">
        <f t="shared" si="9"/>
        <v>-58</v>
      </c>
      <c r="E93" s="56">
        <f t="shared" si="10"/>
        <v>78</v>
      </c>
      <c r="F93" s="175">
        <f t="shared" si="11"/>
        <v>20</v>
      </c>
    </row>
    <row r="94" spans="1:6" x14ac:dyDescent="0.25">
      <c r="A94" s="54">
        <f t="shared" si="12"/>
        <v>180</v>
      </c>
      <c r="B94" s="55">
        <f t="shared" si="7"/>
        <v>0</v>
      </c>
      <c r="C94" s="56">
        <f t="shared" si="8"/>
        <v>0</v>
      </c>
      <c r="D94" s="56">
        <f t="shared" si="9"/>
        <v>-60</v>
      </c>
      <c r="E94" s="56">
        <f t="shared" si="10"/>
        <v>80</v>
      </c>
      <c r="F94" s="175">
        <f t="shared" si="11"/>
        <v>20</v>
      </c>
    </row>
    <row r="95" spans="1:6" x14ac:dyDescent="0.25">
      <c r="A95" s="54">
        <f t="shared" si="12"/>
        <v>182</v>
      </c>
      <c r="B95" s="55">
        <f t="shared" si="7"/>
        <v>0</v>
      </c>
      <c r="C95" s="56">
        <f t="shared" si="8"/>
        <v>0</v>
      </c>
      <c r="D95" s="56">
        <f t="shared" si="9"/>
        <v>-62</v>
      </c>
      <c r="E95" s="56">
        <f t="shared" si="10"/>
        <v>82</v>
      </c>
      <c r="F95" s="175">
        <f t="shared" si="11"/>
        <v>20</v>
      </c>
    </row>
    <row r="96" spans="1:6" x14ac:dyDescent="0.25">
      <c r="A96" s="54">
        <f t="shared" si="12"/>
        <v>184</v>
      </c>
      <c r="B96" s="55">
        <f t="shared" si="7"/>
        <v>0</v>
      </c>
      <c r="C96" s="56">
        <f t="shared" si="8"/>
        <v>0</v>
      </c>
      <c r="D96" s="56">
        <f t="shared" si="9"/>
        <v>-64</v>
      </c>
      <c r="E96" s="56">
        <f t="shared" si="10"/>
        <v>84</v>
      </c>
      <c r="F96" s="175">
        <f t="shared" si="11"/>
        <v>20</v>
      </c>
    </row>
    <row r="97" spans="1:6" x14ac:dyDescent="0.25">
      <c r="A97" s="54">
        <f t="shared" si="12"/>
        <v>186</v>
      </c>
      <c r="B97" s="55">
        <f t="shared" si="7"/>
        <v>0</v>
      </c>
      <c r="C97" s="56">
        <f t="shared" si="8"/>
        <v>0</v>
      </c>
      <c r="D97" s="56">
        <f t="shared" si="9"/>
        <v>-66</v>
      </c>
      <c r="E97" s="56">
        <f t="shared" si="10"/>
        <v>86</v>
      </c>
      <c r="F97" s="175">
        <f t="shared" si="11"/>
        <v>20</v>
      </c>
    </row>
    <row r="98" spans="1:6" x14ac:dyDescent="0.25">
      <c r="A98" s="54">
        <f t="shared" si="12"/>
        <v>188</v>
      </c>
      <c r="B98" s="55">
        <f t="shared" si="7"/>
        <v>0</v>
      </c>
      <c r="C98" s="56">
        <f t="shared" si="8"/>
        <v>0</v>
      </c>
      <c r="D98" s="56">
        <f t="shared" si="9"/>
        <v>-68</v>
      </c>
      <c r="E98" s="56">
        <f t="shared" si="10"/>
        <v>88</v>
      </c>
      <c r="F98" s="175">
        <f t="shared" si="11"/>
        <v>20</v>
      </c>
    </row>
    <row r="99" spans="1:6" x14ac:dyDescent="0.25">
      <c r="A99" s="54">
        <f t="shared" si="12"/>
        <v>190</v>
      </c>
      <c r="B99" s="55">
        <f t="shared" si="7"/>
        <v>0</v>
      </c>
      <c r="C99" s="56">
        <f t="shared" si="8"/>
        <v>0</v>
      </c>
      <c r="D99" s="56">
        <f t="shared" si="9"/>
        <v>-70</v>
      </c>
      <c r="E99" s="56">
        <f t="shared" si="10"/>
        <v>90</v>
      </c>
      <c r="F99" s="175">
        <f t="shared" si="11"/>
        <v>20</v>
      </c>
    </row>
    <row r="100" spans="1:6" x14ac:dyDescent="0.25">
      <c r="A100" s="54">
        <f t="shared" si="12"/>
        <v>192</v>
      </c>
      <c r="B100" s="55">
        <f t="shared" si="7"/>
        <v>0</v>
      </c>
      <c r="C100" s="56">
        <f t="shared" si="8"/>
        <v>0</v>
      </c>
      <c r="D100" s="56">
        <f t="shared" si="9"/>
        <v>-72</v>
      </c>
      <c r="E100" s="56">
        <f t="shared" si="10"/>
        <v>92</v>
      </c>
      <c r="F100" s="175">
        <f t="shared" si="11"/>
        <v>20</v>
      </c>
    </row>
    <row r="101" spans="1:6" x14ac:dyDescent="0.25">
      <c r="A101" s="54">
        <f t="shared" si="12"/>
        <v>194</v>
      </c>
      <c r="B101" s="55">
        <f t="shared" si="7"/>
        <v>0</v>
      </c>
      <c r="C101" s="56">
        <f t="shared" si="8"/>
        <v>0</v>
      </c>
      <c r="D101" s="56">
        <f t="shared" si="9"/>
        <v>-74</v>
      </c>
      <c r="E101" s="56">
        <f t="shared" si="10"/>
        <v>94</v>
      </c>
      <c r="F101" s="175">
        <f t="shared" si="11"/>
        <v>20</v>
      </c>
    </row>
    <row r="102" spans="1:6" x14ac:dyDescent="0.25">
      <c r="A102" s="54">
        <f t="shared" si="12"/>
        <v>196</v>
      </c>
      <c r="B102" s="55">
        <f t="shared" si="7"/>
        <v>0</v>
      </c>
      <c r="C102" s="56">
        <f t="shared" si="8"/>
        <v>0</v>
      </c>
      <c r="D102" s="56">
        <f t="shared" si="9"/>
        <v>-76</v>
      </c>
      <c r="E102" s="56">
        <f t="shared" si="10"/>
        <v>96</v>
      </c>
      <c r="F102" s="175">
        <f t="shared" si="11"/>
        <v>20</v>
      </c>
    </row>
    <row r="103" spans="1:6" x14ac:dyDescent="0.25">
      <c r="A103" s="54">
        <f t="shared" si="12"/>
        <v>198</v>
      </c>
      <c r="B103" s="55">
        <f t="shared" si="7"/>
        <v>0</v>
      </c>
      <c r="C103" s="56">
        <f t="shared" si="8"/>
        <v>0</v>
      </c>
      <c r="D103" s="56">
        <f t="shared" si="9"/>
        <v>-78</v>
      </c>
      <c r="E103" s="56">
        <f t="shared" si="10"/>
        <v>98</v>
      </c>
      <c r="F103" s="175">
        <f t="shared" si="11"/>
        <v>20</v>
      </c>
    </row>
    <row r="104" spans="1:6" x14ac:dyDescent="0.25">
      <c r="A104" s="64">
        <f t="shared" si="12"/>
        <v>200</v>
      </c>
      <c r="B104" s="65">
        <f t="shared" si="7"/>
        <v>0</v>
      </c>
      <c r="C104" s="58">
        <f t="shared" si="8"/>
        <v>0</v>
      </c>
      <c r="D104" s="58">
        <f t="shared" si="9"/>
        <v>-80</v>
      </c>
      <c r="E104" s="58">
        <f t="shared" si="10"/>
        <v>100</v>
      </c>
      <c r="F104" s="176">
        <f t="shared" si="11"/>
        <v>20</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A1:A2"/>
    <mergeCell ref="B1:B2"/>
    <mergeCell ref="C1:C2"/>
    <mergeCell ref="D1:D2"/>
    <mergeCell ref="E1:E2"/>
    <mergeCell ref="I2:I10"/>
    <mergeCell ref="K2:N2"/>
    <mergeCell ref="B3:E3"/>
    <mergeCell ref="K6:N6"/>
    <mergeCell ref="K7:N7"/>
    <mergeCell ref="K8:N8"/>
    <mergeCell ref="K9:N9"/>
    <mergeCell ref="K10:N10"/>
    <mergeCell ref="F1:F3"/>
  </mergeCells>
  <pageMargins left="0.75" right="0.75" top="1" bottom="1" header="0.5" footer="0.5"/>
  <pageSetup orientation="portrait" r:id="rId1"/>
  <headerFooter alignWithMargins="0"/>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45F27-88AE-43DD-8DEF-5DCD6629042E}">
  <dimension ref="A1:N132"/>
  <sheetViews>
    <sheetView topLeftCell="E1" zoomScale="110" zoomScaleNormal="110" workbookViewId="0">
      <selection activeCell="K2" sqref="K2:N2"/>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P</v>
      </c>
      <c r="C1" s="724" t="str">
        <f>L3</f>
        <v>P</v>
      </c>
      <c r="D1" s="724" t="str">
        <f t="shared" ref="D1:E1" si="0">M3</f>
        <v>C</v>
      </c>
      <c r="E1" s="724" t="str">
        <f t="shared" si="0"/>
        <v>C</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98</v>
      </c>
      <c r="L3" s="46" t="s">
        <v>98</v>
      </c>
      <c r="M3" s="46" t="s">
        <v>99</v>
      </c>
      <c r="N3" s="46" t="s">
        <v>99</v>
      </c>
    </row>
    <row r="4" spans="1:14" x14ac:dyDescent="0.25">
      <c r="A4" s="51">
        <v>0</v>
      </c>
      <c r="B4" s="52">
        <f>(MAX(IF($B$1="C",1,-1)*(A4-$K$5),0)-IF($K$10="Y",$K$13*EXP($K$6*$K$9),0))*$K$4</f>
        <v>0</v>
      </c>
      <c r="C4" s="45">
        <f>(MAX(IF($C$1="C",1,-1)*(A4-$L$5),0)-IF($K$10="Y",$L$13*EXP($K$6*$K$9),0))*$L$4</f>
        <v>95.274010664980921</v>
      </c>
      <c r="D4" s="45">
        <f>(MAX(IF($D$1="C",1,-1)*(A4-$M$5),0)-IF($K$10="Y",$M$13*EXP($K$6*$K$9),0))*$M$4</f>
        <v>-5.0598788417066709</v>
      </c>
      <c r="E4" s="45">
        <f>(MAX(IF($E$1="C",1,-1)*(A4-$N$5),0)-IF($K$10="Y",$N$13*EXP($K$6*$K$9),0))*$N$4</f>
        <v>0</v>
      </c>
      <c r="F4" s="174">
        <f>SUM(B4:E4)</f>
        <v>90.214131823274244</v>
      </c>
      <c r="I4" s="715"/>
      <c r="J4" s="50" t="s">
        <v>100</v>
      </c>
      <c r="K4" s="46">
        <v>0</v>
      </c>
      <c r="L4" s="46">
        <v>1</v>
      </c>
      <c r="M4" s="46">
        <v>1</v>
      </c>
      <c r="N4" s="46">
        <v>0</v>
      </c>
    </row>
    <row r="5" spans="1:14" x14ac:dyDescent="0.25">
      <c r="A5" s="54">
        <f>A4+2</f>
        <v>2</v>
      </c>
      <c r="B5" s="55">
        <f t="shared" ref="B5:B68" si="1">(MAX(IF($B$1="C",1,-1)*(A5-$K$5),0)-IF($K$10="Y",$K$13*EXP($K$6*$K$9),0))*$K$4</f>
        <v>0</v>
      </c>
      <c r="C5" s="56">
        <f t="shared" ref="C5:C68" si="2">(MAX(IF($C$1="C",1,-1)*(A5-$L$5),0)-IF($K$10="Y",$L$13*EXP($K$6*$K$9),0))*$L$4</f>
        <v>93.274010664980921</v>
      </c>
      <c r="D5" s="56">
        <f t="shared" ref="D5:D68" si="3">(MAX(IF($D$1="C",1,-1)*(A5-$M$5),0)-IF($K$10="Y",$M$13*EXP($K$6*$K$9),0))*$M$4</f>
        <v>-5.0598788417066709</v>
      </c>
      <c r="E5" s="56">
        <f t="shared" ref="E5:E68" si="4">(MAX(IF($E$1="C",1,-1)*(A5-$N$5),0)-IF($K$10="Y",$N$13*EXP($K$6*$K$9),0))*$N$4</f>
        <v>0</v>
      </c>
      <c r="F5" s="175">
        <f t="shared" ref="F5:F68" si="5">SUM(B5:E5)</f>
        <v>88.214131823274244</v>
      </c>
      <c r="I5" s="715"/>
      <c r="J5" s="56" t="s">
        <v>101</v>
      </c>
      <c r="K5" s="46">
        <v>80</v>
      </c>
      <c r="L5" s="46">
        <v>100</v>
      </c>
      <c r="M5" s="46">
        <v>100</v>
      </c>
      <c r="N5" s="46">
        <v>120</v>
      </c>
    </row>
    <row r="6" spans="1:14" x14ac:dyDescent="0.25">
      <c r="A6" s="54">
        <f t="shared" ref="A6:A69" si="6">A5+2</f>
        <v>4</v>
      </c>
      <c r="B6" s="55">
        <f t="shared" si="1"/>
        <v>0</v>
      </c>
      <c r="C6" s="56">
        <f t="shared" si="2"/>
        <v>91.274010664980921</v>
      </c>
      <c r="D6" s="56">
        <f t="shared" si="3"/>
        <v>-5.0598788417066709</v>
      </c>
      <c r="E6" s="56">
        <f t="shared" si="4"/>
        <v>0</v>
      </c>
      <c r="F6" s="175">
        <f t="shared" si="5"/>
        <v>86.214131823274244</v>
      </c>
      <c r="I6" s="715"/>
      <c r="J6" s="56" t="s">
        <v>102</v>
      </c>
      <c r="K6" s="758">
        <v>0.02</v>
      </c>
      <c r="L6" s="719"/>
      <c r="M6" s="719"/>
      <c r="N6" s="720"/>
    </row>
    <row r="7" spans="1:14" x14ac:dyDescent="0.25">
      <c r="A7" s="54">
        <f t="shared" si="6"/>
        <v>6</v>
      </c>
      <c r="B7" s="55">
        <f t="shared" si="1"/>
        <v>0</v>
      </c>
      <c r="C7" s="56">
        <f t="shared" si="2"/>
        <v>89.274010664980921</v>
      </c>
      <c r="D7" s="56">
        <f t="shared" si="3"/>
        <v>-5.0598788417066709</v>
      </c>
      <c r="E7" s="56">
        <f t="shared" si="4"/>
        <v>0</v>
      </c>
      <c r="F7" s="175">
        <f t="shared" si="5"/>
        <v>84.214131823274244</v>
      </c>
      <c r="I7" s="715"/>
      <c r="J7" s="56" t="s">
        <v>103</v>
      </c>
      <c r="K7" s="758">
        <v>0</v>
      </c>
      <c r="L7" s="719"/>
      <c r="M7" s="719"/>
      <c r="N7" s="720"/>
    </row>
    <row r="8" spans="1:14" x14ac:dyDescent="0.25">
      <c r="A8" s="54">
        <f t="shared" si="6"/>
        <v>8</v>
      </c>
      <c r="B8" s="55">
        <f t="shared" si="1"/>
        <v>0</v>
      </c>
      <c r="C8" s="56">
        <f t="shared" si="2"/>
        <v>87.274010664980921</v>
      </c>
      <c r="D8" s="56">
        <f t="shared" si="3"/>
        <v>-5.0598788417066709</v>
      </c>
      <c r="E8" s="56">
        <f t="shared" si="4"/>
        <v>0</v>
      </c>
      <c r="F8" s="175">
        <f t="shared" si="5"/>
        <v>82.214131823274244</v>
      </c>
      <c r="I8" s="715"/>
      <c r="J8" s="56" t="s">
        <v>104</v>
      </c>
      <c r="K8" s="758">
        <v>0.3</v>
      </c>
      <c r="L8" s="719"/>
      <c r="M8" s="719"/>
      <c r="N8" s="720"/>
    </row>
    <row r="9" spans="1:14" x14ac:dyDescent="0.25">
      <c r="A9" s="54">
        <f t="shared" si="6"/>
        <v>10</v>
      </c>
      <c r="B9" s="55">
        <f t="shared" si="1"/>
        <v>0</v>
      </c>
      <c r="C9" s="56">
        <f t="shared" si="2"/>
        <v>85.274010664980921</v>
      </c>
      <c r="D9" s="56">
        <f t="shared" si="3"/>
        <v>-5.0598788417066709</v>
      </c>
      <c r="E9" s="56">
        <f t="shared" si="4"/>
        <v>0</v>
      </c>
      <c r="F9" s="175">
        <f t="shared" si="5"/>
        <v>80.214131823274244</v>
      </c>
      <c r="I9" s="715"/>
      <c r="J9" s="58" t="s">
        <v>105</v>
      </c>
      <c r="K9" s="729">
        <f>2/12</f>
        <v>0.16666666666666666</v>
      </c>
      <c r="L9" s="721"/>
      <c r="M9" s="721"/>
      <c r="N9" s="722"/>
    </row>
    <row r="10" spans="1:14" x14ac:dyDescent="0.25">
      <c r="A10" s="54">
        <f t="shared" si="6"/>
        <v>12</v>
      </c>
      <c r="B10" s="55">
        <f t="shared" si="1"/>
        <v>0</v>
      </c>
      <c r="C10" s="56">
        <f t="shared" si="2"/>
        <v>83.274010664980921</v>
      </c>
      <c r="D10" s="56">
        <f t="shared" si="3"/>
        <v>-5.0598788417066709</v>
      </c>
      <c r="E10" s="56">
        <f t="shared" si="4"/>
        <v>0</v>
      </c>
      <c r="F10" s="175">
        <f t="shared" si="5"/>
        <v>78.214131823274244</v>
      </c>
      <c r="I10" s="716"/>
      <c r="J10" s="59" t="s">
        <v>106</v>
      </c>
      <c r="K10" s="729" t="s">
        <v>122</v>
      </c>
      <c r="L10" s="721"/>
      <c r="M10" s="721"/>
      <c r="N10" s="722"/>
    </row>
    <row r="11" spans="1:14" x14ac:dyDescent="0.25">
      <c r="A11" s="54">
        <f t="shared" si="6"/>
        <v>14</v>
      </c>
      <c r="B11" s="55">
        <f t="shared" si="1"/>
        <v>0</v>
      </c>
      <c r="C11" s="56">
        <f t="shared" si="2"/>
        <v>81.274010664980921</v>
      </c>
      <c r="D11" s="56">
        <f t="shared" si="3"/>
        <v>-5.0598788417066709</v>
      </c>
      <c r="E11" s="56">
        <f t="shared" si="4"/>
        <v>0</v>
      </c>
      <c r="F11" s="175">
        <f t="shared" si="5"/>
        <v>76.214131823274244</v>
      </c>
      <c r="I11" s="41" t="s">
        <v>107</v>
      </c>
      <c r="J11" s="52" t="s">
        <v>108</v>
      </c>
      <c r="K11" s="47">
        <f>(LN($K$2/K5)+(($K$6-$K$7+(0.5*$K$8*$K$8))*$K$9))/($K$8*SQRT($K$9))</f>
        <v>1.910413263308399</v>
      </c>
      <c r="L11" s="47">
        <f>(LN($K$2/L5)+(($K$6-$K$7+(0.5*$K$8*$K$8))*$K$9))/($K$8*SQRT($K$9))</f>
        <v>8.8453796267170329E-2</v>
      </c>
      <c r="M11" s="47">
        <f>(LN($K$2/M5)+(($K$6-$K$7+(0.5*$K$8*$K$8))*$K$9))/($K$8*SQRT($K$9))</f>
        <v>8.8453796267170329E-2</v>
      </c>
      <c r="N11" s="47">
        <f>(LN($K$2/N5)+(($K$6-$K$7+(0.5*$K$8*$K$8))*$K$9))/($K$8*SQRT($K$9))</f>
        <v>-1.4001954812496711</v>
      </c>
    </row>
    <row r="12" spans="1:14" x14ac:dyDescent="0.25">
      <c r="A12" s="54">
        <f t="shared" si="6"/>
        <v>16</v>
      </c>
      <c r="B12" s="55">
        <f t="shared" si="1"/>
        <v>0</v>
      </c>
      <c r="C12" s="56">
        <f t="shared" si="2"/>
        <v>79.274010664980921</v>
      </c>
      <c r="D12" s="56">
        <f t="shared" si="3"/>
        <v>-5.0598788417066709</v>
      </c>
      <c r="E12" s="56">
        <f t="shared" si="4"/>
        <v>0</v>
      </c>
      <c r="F12" s="175">
        <f t="shared" si="5"/>
        <v>74.214131823274244</v>
      </c>
      <c r="I12" s="49"/>
      <c r="J12" s="55" t="s">
        <v>109</v>
      </c>
      <c r="K12" s="60">
        <f>K11-($K$8*SQRT($K$9))</f>
        <v>1.78793877616924</v>
      </c>
      <c r="L12" s="60">
        <f>L11-($K$8*SQRT($K$9))</f>
        <v>-3.4020690871988571E-2</v>
      </c>
      <c r="M12" s="60">
        <f>M11-($K$8*SQRT($K$9))</f>
        <v>-3.4020690871988571E-2</v>
      </c>
      <c r="N12" s="60">
        <f>N11-($K$8*SQRT($K$9))</f>
        <v>-1.5226699683888301</v>
      </c>
    </row>
    <row r="13" spans="1:14" x14ac:dyDescent="0.25">
      <c r="A13" s="54">
        <f t="shared" si="6"/>
        <v>18</v>
      </c>
      <c r="B13" s="55">
        <f t="shared" si="1"/>
        <v>0</v>
      </c>
      <c r="C13" s="56">
        <f t="shared" si="2"/>
        <v>77.274010664980921</v>
      </c>
      <c r="D13" s="56">
        <f t="shared" si="3"/>
        <v>-5.0598788417066709</v>
      </c>
      <c r="E13" s="56">
        <f t="shared" si="4"/>
        <v>0</v>
      </c>
      <c r="F13" s="175">
        <f t="shared" si="5"/>
        <v>72.214131823274244</v>
      </c>
      <c r="I13" s="44"/>
      <c r="J13" s="61" t="s">
        <v>110</v>
      </c>
      <c r="K13" s="62">
        <f>IF(K3="C",($K$2*EXP(-$K$7*$K$9)*NORMSDIST(K11))-(K5*EXP(-$K$6*$K$9)*NORMSDIST(K12)),(-$K$2*EXP(-$K$7*$K$9)*NORMSDIST(-K11))-(-K5*EXP(-$K$6*$K$9)*NORMSDIST(-K12)))</f>
        <v>0.13761247754943184</v>
      </c>
      <c r="L13" s="62">
        <f>IF(L3="C",($K$2*EXP(-$K$7*$K$9)*NORMSDIST(L11))-(L5*EXP(-$K$6*$K$9)*NORMSDIST(L12)),(-$K$2*EXP(-$K$7*$K$9)*NORMSDIST(-L11))-(-L5*EXP(-$K$6*$K$9)*NORMSDIST(-L12)))</f>
        <v>4.7102622635835161</v>
      </c>
      <c r="M13" s="62">
        <f>IF(M3="C",($K$2*EXP(-$K$7*$K$9)*NORMSDIST(M11))-(M5*EXP(-$K$6*$K$9)*NORMSDIST(M12)),(-$K$2*EXP(-$K$7*$K$9)*NORMSDIST(-M11))-(-M5*EXP(-$K$6*$K$9)*NORMSDIST(-M12)))</f>
        <v>5.0430406581311829</v>
      </c>
      <c r="N13" s="62">
        <f>IF(N3="C",($K$2*EXP(-$K$7*$K$9)*NORMSDIST(N11))-(N5*EXP(-$K$6*$K$9)*NORMSDIST(N12)),(-$K$2*EXP(-$K$7*$K$9)*NORMSDIST(-N11))-(-N5*EXP(-$K$6*$K$9)*NORMSDIST(-N12)))</f>
        <v>0.42778742295030714</v>
      </c>
    </row>
    <row r="14" spans="1:14" x14ac:dyDescent="0.25">
      <c r="A14" s="54">
        <f t="shared" si="6"/>
        <v>20</v>
      </c>
      <c r="B14" s="55">
        <f t="shared" si="1"/>
        <v>0</v>
      </c>
      <c r="C14" s="56">
        <f t="shared" si="2"/>
        <v>75.274010664980921</v>
      </c>
      <c r="D14" s="56">
        <f t="shared" si="3"/>
        <v>-5.0598788417066709</v>
      </c>
      <c r="E14" s="56">
        <f t="shared" si="4"/>
        <v>0</v>
      </c>
      <c r="F14" s="175">
        <f t="shared" si="5"/>
        <v>70.214131823274244</v>
      </c>
      <c r="K14" s="96"/>
    </row>
    <row r="15" spans="1:14" x14ac:dyDescent="0.25">
      <c r="A15" s="54">
        <f t="shared" si="6"/>
        <v>22</v>
      </c>
      <c r="B15" s="55">
        <f t="shared" si="1"/>
        <v>0</v>
      </c>
      <c r="C15" s="56">
        <f t="shared" si="2"/>
        <v>73.274010664980921</v>
      </c>
      <c r="D15" s="56">
        <f t="shared" si="3"/>
        <v>-5.0598788417066709</v>
      </c>
      <c r="E15" s="56">
        <f t="shared" si="4"/>
        <v>0</v>
      </c>
      <c r="F15" s="175">
        <f t="shared" si="5"/>
        <v>68.214131823274244</v>
      </c>
    </row>
    <row r="16" spans="1:14" x14ac:dyDescent="0.25">
      <c r="A16" s="54">
        <f t="shared" si="6"/>
        <v>24</v>
      </c>
      <c r="B16" s="55">
        <f t="shared" si="1"/>
        <v>0</v>
      </c>
      <c r="C16" s="56">
        <f t="shared" si="2"/>
        <v>71.274010664980921</v>
      </c>
      <c r="D16" s="56">
        <f t="shared" si="3"/>
        <v>-5.0598788417066709</v>
      </c>
      <c r="E16" s="56">
        <f t="shared" si="4"/>
        <v>0</v>
      </c>
      <c r="F16" s="175">
        <f t="shared" si="5"/>
        <v>66.214131823274244</v>
      </c>
    </row>
    <row r="17" spans="1:9" x14ac:dyDescent="0.25">
      <c r="A17" s="54">
        <f t="shared" si="6"/>
        <v>26</v>
      </c>
      <c r="B17" s="55">
        <f t="shared" si="1"/>
        <v>0</v>
      </c>
      <c r="C17" s="56">
        <f t="shared" si="2"/>
        <v>69.274010664980921</v>
      </c>
      <c r="D17" s="56">
        <f t="shared" si="3"/>
        <v>-5.0598788417066709</v>
      </c>
      <c r="E17" s="56">
        <f t="shared" si="4"/>
        <v>0</v>
      </c>
      <c r="F17" s="175">
        <f t="shared" si="5"/>
        <v>64.214131823274244</v>
      </c>
    </row>
    <row r="18" spans="1:9" x14ac:dyDescent="0.25">
      <c r="A18" s="54">
        <f t="shared" si="6"/>
        <v>28</v>
      </c>
      <c r="B18" s="55">
        <f t="shared" si="1"/>
        <v>0</v>
      </c>
      <c r="C18" s="56">
        <f t="shared" si="2"/>
        <v>67.274010664980921</v>
      </c>
      <c r="D18" s="56">
        <f t="shared" si="3"/>
        <v>-5.0598788417066709</v>
      </c>
      <c r="E18" s="56">
        <f t="shared" si="4"/>
        <v>0</v>
      </c>
      <c r="F18" s="175">
        <f t="shared" si="5"/>
        <v>62.214131823274251</v>
      </c>
    </row>
    <row r="19" spans="1:9" x14ac:dyDescent="0.25">
      <c r="A19" s="54">
        <f t="shared" si="6"/>
        <v>30</v>
      </c>
      <c r="B19" s="55">
        <f t="shared" si="1"/>
        <v>0</v>
      </c>
      <c r="C19" s="56">
        <f t="shared" si="2"/>
        <v>65.274010664980921</v>
      </c>
      <c r="D19" s="56">
        <f t="shared" si="3"/>
        <v>-5.0598788417066709</v>
      </c>
      <c r="E19" s="56">
        <f t="shared" si="4"/>
        <v>0</v>
      </c>
      <c r="F19" s="175">
        <f t="shared" si="5"/>
        <v>60.214131823274251</v>
      </c>
    </row>
    <row r="20" spans="1:9" x14ac:dyDescent="0.25">
      <c r="A20" s="54">
        <f t="shared" si="6"/>
        <v>32</v>
      </c>
      <c r="B20" s="55">
        <f t="shared" si="1"/>
        <v>0</v>
      </c>
      <c r="C20" s="56">
        <f t="shared" si="2"/>
        <v>63.274010664980914</v>
      </c>
      <c r="D20" s="56">
        <f t="shared" si="3"/>
        <v>-5.0598788417066709</v>
      </c>
      <c r="E20" s="56">
        <f t="shared" si="4"/>
        <v>0</v>
      </c>
      <c r="F20" s="175">
        <f t="shared" si="5"/>
        <v>58.214131823274244</v>
      </c>
    </row>
    <row r="21" spans="1:9" x14ac:dyDescent="0.25">
      <c r="A21" s="54">
        <f t="shared" si="6"/>
        <v>34</v>
      </c>
      <c r="B21" s="55">
        <f t="shared" si="1"/>
        <v>0</v>
      </c>
      <c r="C21" s="56">
        <f t="shared" si="2"/>
        <v>61.274010664980914</v>
      </c>
      <c r="D21" s="56">
        <f t="shared" si="3"/>
        <v>-5.0598788417066709</v>
      </c>
      <c r="E21" s="56">
        <f t="shared" si="4"/>
        <v>0</v>
      </c>
      <c r="F21" s="175">
        <f t="shared" si="5"/>
        <v>56.214131823274244</v>
      </c>
    </row>
    <row r="22" spans="1:9" x14ac:dyDescent="0.25">
      <c r="A22" s="54">
        <f t="shared" si="6"/>
        <v>36</v>
      </c>
      <c r="B22" s="55">
        <f t="shared" si="1"/>
        <v>0</v>
      </c>
      <c r="C22" s="56">
        <f t="shared" si="2"/>
        <v>59.274010664980914</v>
      </c>
      <c r="D22" s="56">
        <f t="shared" si="3"/>
        <v>-5.0598788417066709</v>
      </c>
      <c r="E22" s="56">
        <f t="shared" si="4"/>
        <v>0</v>
      </c>
      <c r="F22" s="175">
        <f t="shared" si="5"/>
        <v>54.214131823274244</v>
      </c>
    </row>
    <row r="23" spans="1:9" x14ac:dyDescent="0.25">
      <c r="A23" s="54">
        <f t="shared" si="6"/>
        <v>38</v>
      </c>
      <c r="B23" s="55">
        <f t="shared" si="1"/>
        <v>0</v>
      </c>
      <c r="C23" s="56">
        <f t="shared" si="2"/>
        <v>57.274010664980914</v>
      </c>
      <c r="D23" s="56">
        <f t="shared" si="3"/>
        <v>-5.0598788417066709</v>
      </c>
      <c r="E23" s="56">
        <f t="shared" si="4"/>
        <v>0</v>
      </c>
      <c r="F23" s="175">
        <f t="shared" si="5"/>
        <v>52.214131823274244</v>
      </c>
    </row>
    <row r="24" spans="1:9" x14ac:dyDescent="0.25">
      <c r="A24" s="54">
        <f t="shared" si="6"/>
        <v>40</v>
      </c>
      <c r="B24" s="55">
        <f t="shared" si="1"/>
        <v>0</v>
      </c>
      <c r="C24" s="56">
        <f t="shared" si="2"/>
        <v>55.274010664980914</v>
      </c>
      <c r="D24" s="56">
        <f t="shared" si="3"/>
        <v>-5.0598788417066709</v>
      </c>
      <c r="E24" s="56">
        <f t="shared" si="4"/>
        <v>0</v>
      </c>
      <c r="F24" s="175">
        <f t="shared" si="5"/>
        <v>50.214131823274244</v>
      </c>
    </row>
    <row r="25" spans="1:9" x14ac:dyDescent="0.25">
      <c r="A25" s="54">
        <f t="shared" si="6"/>
        <v>42</v>
      </c>
      <c r="B25" s="55">
        <f t="shared" si="1"/>
        <v>0</v>
      </c>
      <c r="C25" s="56">
        <f t="shared" si="2"/>
        <v>53.274010664980914</v>
      </c>
      <c r="D25" s="56">
        <f t="shared" si="3"/>
        <v>-5.0598788417066709</v>
      </c>
      <c r="E25" s="56">
        <f t="shared" si="4"/>
        <v>0</v>
      </c>
      <c r="F25" s="175">
        <f t="shared" si="5"/>
        <v>48.214131823274244</v>
      </c>
      <c r="I25" s="63"/>
    </row>
    <row r="26" spans="1:9" x14ac:dyDescent="0.25">
      <c r="A26" s="54">
        <f t="shared" si="6"/>
        <v>44</v>
      </c>
      <c r="B26" s="55">
        <f t="shared" si="1"/>
        <v>0</v>
      </c>
      <c r="C26" s="56">
        <f t="shared" si="2"/>
        <v>51.274010664980914</v>
      </c>
      <c r="D26" s="56">
        <f t="shared" si="3"/>
        <v>-5.0598788417066709</v>
      </c>
      <c r="E26" s="56">
        <f t="shared" si="4"/>
        <v>0</v>
      </c>
      <c r="F26" s="175">
        <f t="shared" si="5"/>
        <v>46.214131823274244</v>
      </c>
    </row>
    <row r="27" spans="1:9" x14ac:dyDescent="0.25">
      <c r="A27" s="54">
        <f t="shared" si="6"/>
        <v>46</v>
      </c>
      <c r="B27" s="55">
        <f t="shared" si="1"/>
        <v>0</v>
      </c>
      <c r="C27" s="56">
        <f t="shared" si="2"/>
        <v>49.274010664980914</v>
      </c>
      <c r="D27" s="56">
        <f t="shared" si="3"/>
        <v>-5.0598788417066709</v>
      </c>
      <c r="E27" s="56">
        <f t="shared" si="4"/>
        <v>0</v>
      </c>
      <c r="F27" s="175">
        <f t="shared" si="5"/>
        <v>44.214131823274244</v>
      </c>
    </row>
    <row r="28" spans="1:9" x14ac:dyDescent="0.25">
      <c r="A28" s="54">
        <f t="shared" si="6"/>
        <v>48</v>
      </c>
      <c r="B28" s="55">
        <f t="shared" si="1"/>
        <v>0</v>
      </c>
      <c r="C28" s="56">
        <f t="shared" si="2"/>
        <v>47.274010664980914</v>
      </c>
      <c r="D28" s="56">
        <f t="shared" si="3"/>
        <v>-5.0598788417066709</v>
      </c>
      <c r="E28" s="56">
        <f t="shared" si="4"/>
        <v>0</v>
      </c>
      <c r="F28" s="175">
        <f t="shared" si="5"/>
        <v>42.214131823274244</v>
      </c>
    </row>
    <row r="29" spans="1:9" x14ac:dyDescent="0.25">
      <c r="A29" s="54">
        <f t="shared" si="6"/>
        <v>50</v>
      </c>
      <c r="B29" s="55">
        <f t="shared" si="1"/>
        <v>0</v>
      </c>
      <c r="C29" s="56">
        <f t="shared" si="2"/>
        <v>45.274010664980914</v>
      </c>
      <c r="D29" s="56">
        <f t="shared" si="3"/>
        <v>-5.0598788417066709</v>
      </c>
      <c r="E29" s="56">
        <f t="shared" si="4"/>
        <v>0</v>
      </c>
      <c r="F29" s="175">
        <f t="shared" si="5"/>
        <v>40.214131823274244</v>
      </c>
    </row>
    <row r="30" spans="1:9" x14ac:dyDescent="0.25">
      <c r="A30" s="54">
        <f t="shared" si="6"/>
        <v>52</v>
      </c>
      <c r="B30" s="55">
        <f t="shared" si="1"/>
        <v>0</v>
      </c>
      <c r="C30" s="56">
        <f t="shared" si="2"/>
        <v>43.274010664980914</v>
      </c>
      <c r="D30" s="56">
        <f t="shared" si="3"/>
        <v>-5.0598788417066709</v>
      </c>
      <c r="E30" s="56">
        <f t="shared" si="4"/>
        <v>0</v>
      </c>
      <c r="F30" s="175">
        <f t="shared" si="5"/>
        <v>38.214131823274244</v>
      </c>
    </row>
    <row r="31" spans="1:9" x14ac:dyDescent="0.25">
      <c r="A31" s="54">
        <f t="shared" si="6"/>
        <v>54</v>
      </c>
      <c r="B31" s="55">
        <f t="shared" si="1"/>
        <v>0</v>
      </c>
      <c r="C31" s="56">
        <f t="shared" si="2"/>
        <v>41.274010664980914</v>
      </c>
      <c r="D31" s="56">
        <f t="shared" si="3"/>
        <v>-5.0598788417066709</v>
      </c>
      <c r="E31" s="56">
        <f t="shared" si="4"/>
        <v>0</v>
      </c>
      <c r="F31" s="175">
        <f t="shared" si="5"/>
        <v>36.214131823274244</v>
      </c>
    </row>
    <row r="32" spans="1:9" x14ac:dyDescent="0.25">
      <c r="A32" s="54">
        <f t="shared" si="6"/>
        <v>56</v>
      </c>
      <c r="B32" s="55">
        <f t="shared" si="1"/>
        <v>0</v>
      </c>
      <c r="C32" s="56">
        <f t="shared" si="2"/>
        <v>39.274010664980914</v>
      </c>
      <c r="D32" s="56">
        <f t="shared" si="3"/>
        <v>-5.0598788417066709</v>
      </c>
      <c r="E32" s="56">
        <f t="shared" si="4"/>
        <v>0</v>
      </c>
      <c r="F32" s="175">
        <f t="shared" si="5"/>
        <v>34.214131823274244</v>
      </c>
    </row>
    <row r="33" spans="1:6" x14ac:dyDescent="0.25">
      <c r="A33" s="54">
        <f t="shared" si="6"/>
        <v>58</v>
      </c>
      <c r="B33" s="55">
        <f t="shared" si="1"/>
        <v>0</v>
      </c>
      <c r="C33" s="56">
        <f t="shared" si="2"/>
        <v>37.274010664980914</v>
      </c>
      <c r="D33" s="56">
        <f t="shared" si="3"/>
        <v>-5.0598788417066709</v>
      </c>
      <c r="E33" s="56">
        <f t="shared" si="4"/>
        <v>0</v>
      </c>
      <c r="F33" s="175">
        <f t="shared" si="5"/>
        <v>32.214131823274244</v>
      </c>
    </row>
    <row r="34" spans="1:6" x14ac:dyDescent="0.25">
      <c r="A34" s="54">
        <f t="shared" si="6"/>
        <v>60</v>
      </c>
      <c r="B34" s="55">
        <f t="shared" si="1"/>
        <v>0</v>
      </c>
      <c r="C34" s="56">
        <f t="shared" si="2"/>
        <v>35.274010664980914</v>
      </c>
      <c r="D34" s="56">
        <f t="shared" si="3"/>
        <v>-5.0598788417066709</v>
      </c>
      <c r="E34" s="56">
        <f t="shared" si="4"/>
        <v>0</v>
      </c>
      <c r="F34" s="175">
        <f t="shared" si="5"/>
        <v>30.214131823274244</v>
      </c>
    </row>
    <row r="35" spans="1:6" x14ac:dyDescent="0.25">
      <c r="A35" s="54">
        <f t="shared" si="6"/>
        <v>62</v>
      </c>
      <c r="B35" s="55">
        <f t="shared" si="1"/>
        <v>0</v>
      </c>
      <c r="C35" s="56">
        <f t="shared" si="2"/>
        <v>33.274010664980914</v>
      </c>
      <c r="D35" s="56">
        <f t="shared" si="3"/>
        <v>-5.0598788417066709</v>
      </c>
      <c r="E35" s="56">
        <f t="shared" si="4"/>
        <v>0</v>
      </c>
      <c r="F35" s="175">
        <f t="shared" si="5"/>
        <v>28.214131823274244</v>
      </c>
    </row>
    <row r="36" spans="1:6" x14ac:dyDescent="0.25">
      <c r="A36" s="54">
        <f t="shared" si="6"/>
        <v>64</v>
      </c>
      <c r="B36" s="55">
        <f t="shared" si="1"/>
        <v>0</v>
      </c>
      <c r="C36" s="56">
        <f t="shared" si="2"/>
        <v>31.274010664980914</v>
      </c>
      <c r="D36" s="56">
        <f t="shared" si="3"/>
        <v>-5.0598788417066709</v>
      </c>
      <c r="E36" s="56">
        <f t="shared" si="4"/>
        <v>0</v>
      </c>
      <c r="F36" s="175">
        <f t="shared" si="5"/>
        <v>26.214131823274244</v>
      </c>
    </row>
    <row r="37" spans="1:6" x14ac:dyDescent="0.25">
      <c r="A37" s="54">
        <f t="shared" si="6"/>
        <v>66</v>
      </c>
      <c r="B37" s="55">
        <f t="shared" si="1"/>
        <v>0</v>
      </c>
      <c r="C37" s="56">
        <f t="shared" si="2"/>
        <v>29.274010664980914</v>
      </c>
      <c r="D37" s="56">
        <f t="shared" si="3"/>
        <v>-5.0598788417066709</v>
      </c>
      <c r="E37" s="56">
        <f t="shared" si="4"/>
        <v>0</v>
      </c>
      <c r="F37" s="175">
        <f t="shared" si="5"/>
        <v>24.214131823274244</v>
      </c>
    </row>
    <row r="38" spans="1:6" x14ac:dyDescent="0.25">
      <c r="A38" s="54">
        <f t="shared" si="6"/>
        <v>68</v>
      </c>
      <c r="B38" s="55">
        <f t="shared" si="1"/>
        <v>0</v>
      </c>
      <c r="C38" s="56">
        <f t="shared" si="2"/>
        <v>27.274010664980914</v>
      </c>
      <c r="D38" s="56">
        <f t="shared" si="3"/>
        <v>-5.0598788417066709</v>
      </c>
      <c r="E38" s="56">
        <f t="shared" si="4"/>
        <v>0</v>
      </c>
      <c r="F38" s="175">
        <f t="shared" si="5"/>
        <v>22.214131823274244</v>
      </c>
    </row>
    <row r="39" spans="1:6" x14ac:dyDescent="0.25">
      <c r="A39" s="54">
        <f t="shared" si="6"/>
        <v>70</v>
      </c>
      <c r="B39" s="55">
        <f t="shared" si="1"/>
        <v>0</v>
      </c>
      <c r="C39" s="56">
        <f t="shared" si="2"/>
        <v>25.274010664980914</v>
      </c>
      <c r="D39" s="56">
        <f t="shared" si="3"/>
        <v>-5.0598788417066709</v>
      </c>
      <c r="E39" s="56">
        <f t="shared" si="4"/>
        <v>0</v>
      </c>
      <c r="F39" s="175">
        <f t="shared" si="5"/>
        <v>20.214131823274244</v>
      </c>
    </row>
    <row r="40" spans="1:6" x14ac:dyDescent="0.25">
      <c r="A40" s="54">
        <f t="shared" si="6"/>
        <v>72</v>
      </c>
      <c r="B40" s="55">
        <f t="shared" si="1"/>
        <v>0</v>
      </c>
      <c r="C40" s="56">
        <f t="shared" si="2"/>
        <v>23.274010664980914</v>
      </c>
      <c r="D40" s="56">
        <f t="shared" si="3"/>
        <v>-5.0598788417066709</v>
      </c>
      <c r="E40" s="56">
        <f t="shared" si="4"/>
        <v>0</v>
      </c>
      <c r="F40" s="175">
        <f t="shared" si="5"/>
        <v>18.214131823274244</v>
      </c>
    </row>
    <row r="41" spans="1:6" x14ac:dyDescent="0.25">
      <c r="A41" s="54">
        <f t="shared" si="6"/>
        <v>74</v>
      </c>
      <c r="B41" s="55">
        <f t="shared" si="1"/>
        <v>0</v>
      </c>
      <c r="C41" s="56">
        <f t="shared" si="2"/>
        <v>21.274010664980914</v>
      </c>
      <c r="D41" s="56">
        <f t="shared" si="3"/>
        <v>-5.0598788417066709</v>
      </c>
      <c r="E41" s="56">
        <f t="shared" si="4"/>
        <v>0</v>
      </c>
      <c r="F41" s="175">
        <f t="shared" si="5"/>
        <v>16.214131823274244</v>
      </c>
    </row>
    <row r="42" spans="1:6" x14ac:dyDescent="0.25">
      <c r="A42" s="54">
        <f t="shared" si="6"/>
        <v>76</v>
      </c>
      <c r="B42" s="55">
        <f t="shared" si="1"/>
        <v>0</v>
      </c>
      <c r="C42" s="56">
        <f t="shared" si="2"/>
        <v>19.274010664980914</v>
      </c>
      <c r="D42" s="56">
        <f t="shared" si="3"/>
        <v>-5.0598788417066709</v>
      </c>
      <c r="E42" s="56">
        <f t="shared" si="4"/>
        <v>0</v>
      </c>
      <c r="F42" s="175">
        <f t="shared" si="5"/>
        <v>14.214131823274244</v>
      </c>
    </row>
    <row r="43" spans="1:6" x14ac:dyDescent="0.25">
      <c r="A43" s="54">
        <f t="shared" si="6"/>
        <v>78</v>
      </c>
      <c r="B43" s="55">
        <f t="shared" si="1"/>
        <v>0</v>
      </c>
      <c r="C43" s="56">
        <f t="shared" si="2"/>
        <v>17.274010664980914</v>
      </c>
      <c r="D43" s="56">
        <f t="shared" si="3"/>
        <v>-5.0598788417066709</v>
      </c>
      <c r="E43" s="56">
        <f t="shared" si="4"/>
        <v>0</v>
      </c>
      <c r="F43" s="175">
        <f t="shared" si="5"/>
        <v>12.214131823274244</v>
      </c>
    </row>
    <row r="44" spans="1:6" x14ac:dyDescent="0.25">
      <c r="A44" s="54">
        <f t="shared" si="6"/>
        <v>80</v>
      </c>
      <c r="B44" s="55">
        <f t="shared" si="1"/>
        <v>0</v>
      </c>
      <c r="C44" s="56">
        <f t="shared" si="2"/>
        <v>15.274010664980914</v>
      </c>
      <c r="D44" s="56">
        <f t="shared" si="3"/>
        <v>-5.0598788417066709</v>
      </c>
      <c r="E44" s="56">
        <f t="shared" si="4"/>
        <v>0</v>
      </c>
      <c r="F44" s="175">
        <f t="shared" si="5"/>
        <v>10.214131823274244</v>
      </c>
    </row>
    <row r="45" spans="1:6" x14ac:dyDescent="0.25">
      <c r="A45" s="54">
        <f t="shared" si="6"/>
        <v>82</v>
      </c>
      <c r="B45" s="55">
        <f t="shared" si="1"/>
        <v>0</v>
      </c>
      <c r="C45" s="56">
        <f t="shared" si="2"/>
        <v>13.274010664980914</v>
      </c>
      <c r="D45" s="56">
        <f t="shared" si="3"/>
        <v>-5.0598788417066709</v>
      </c>
      <c r="E45" s="56">
        <f t="shared" si="4"/>
        <v>0</v>
      </c>
      <c r="F45" s="175">
        <f t="shared" si="5"/>
        <v>8.2141318232742435</v>
      </c>
    </row>
    <row r="46" spans="1:6" x14ac:dyDescent="0.25">
      <c r="A46" s="54">
        <f t="shared" si="6"/>
        <v>84</v>
      </c>
      <c r="B46" s="55">
        <f t="shared" si="1"/>
        <v>0</v>
      </c>
      <c r="C46" s="56">
        <f t="shared" si="2"/>
        <v>11.274010664980914</v>
      </c>
      <c r="D46" s="56">
        <f t="shared" si="3"/>
        <v>-5.0598788417066709</v>
      </c>
      <c r="E46" s="56">
        <f t="shared" si="4"/>
        <v>0</v>
      </c>
      <c r="F46" s="175">
        <f t="shared" si="5"/>
        <v>6.2141318232742426</v>
      </c>
    </row>
    <row r="47" spans="1:6" x14ac:dyDescent="0.25">
      <c r="A47" s="54">
        <f t="shared" si="6"/>
        <v>86</v>
      </c>
      <c r="B47" s="55">
        <f t="shared" si="1"/>
        <v>0</v>
      </c>
      <c r="C47" s="56">
        <f t="shared" si="2"/>
        <v>9.2740106649809135</v>
      </c>
      <c r="D47" s="56">
        <f t="shared" si="3"/>
        <v>-5.0598788417066709</v>
      </c>
      <c r="E47" s="56">
        <f t="shared" si="4"/>
        <v>0</v>
      </c>
      <c r="F47" s="175">
        <f t="shared" si="5"/>
        <v>4.2141318232742426</v>
      </c>
    </row>
    <row r="48" spans="1:6" x14ac:dyDescent="0.25">
      <c r="A48" s="54">
        <f t="shared" si="6"/>
        <v>88</v>
      </c>
      <c r="B48" s="55">
        <f t="shared" si="1"/>
        <v>0</v>
      </c>
      <c r="C48" s="56">
        <f t="shared" si="2"/>
        <v>7.2740106649809135</v>
      </c>
      <c r="D48" s="56">
        <f t="shared" si="3"/>
        <v>-5.0598788417066709</v>
      </c>
      <c r="E48" s="56">
        <f t="shared" si="4"/>
        <v>0</v>
      </c>
      <c r="F48" s="175">
        <f t="shared" si="5"/>
        <v>2.2141318232742426</v>
      </c>
    </row>
    <row r="49" spans="1:6" x14ac:dyDescent="0.25">
      <c r="A49" s="54">
        <f t="shared" si="6"/>
        <v>90</v>
      </c>
      <c r="B49" s="55">
        <f t="shared" si="1"/>
        <v>0</v>
      </c>
      <c r="C49" s="56">
        <f t="shared" si="2"/>
        <v>5.2740106649809135</v>
      </c>
      <c r="D49" s="56">
        <f t="shared" si="3"/>
        <v>-5.0598788417066709</v>
      </c>
      <c r="E49" s="56">
        <f t="shared" si="4"/>
        <v>0</v>
      </c>
      <c r="F49" s="175">
        <f t="shared" si="5"/>
        <v>0.21413182327424263</v>
      </c>
    </row>
    <row r="50" spans="1:6" x14ac:dyDescent="0.25">
      <c r="A50" s="54">
        <f t="shared" si="6"/>
        <v>92</v>
      </c>
      <c r="B50" s="55">
        <f t="shared" si="1"/>
        <v>0</v>
      </c>
      <c r="C50" s="56">
        <f t="shared" si="2"/>
        <v>3.2740106649809135</v>
      </c>
      <c r="D50" s="56">
        <f t="shared" si="3"/>
        <v>-5.0598788417066709</v>
      </c>
      <c r="E50" s="56">
        <f t="shared" si="4"/>
        <v>0</v>
      </c>
      <c r="F50" s="175">
        <f t="shared" si="5"/>
        <v>-1.7858681767257574</v>
      </c>
    </row>
    <row r="51" spans="1:6" x14ac:dyDescent="0.25">
      <c r="A51" s="54">
        <f t="shared" si="6"/>
        <v>94</v>
      </c>
      <c r="B51" s="55">
        <f t="shared" si="1"/>
        <v>0</v>
      </c>
      <c r="C51" s="56">
        <f t="shared" si="2"/>
        <v>1.2740106649809135</v>
      </c>
      <c r="D51" s="56">
        <f t="shared" si="3"/>
        <v>-5.0598788417066709</v>
      </c>
      <c r="E51" s="56">
        <f t="shared" si="4"/>
        <v>0</v>
      </c>
      <c r="F51" s="175">
        <f t="shared" si="5"/>
        <v>-3.7858681767257574</v>
      </c>
    </row>
    <row r="52" spans="1:6" x14ac:dyDescent="0.25">
      <c r="A52" s="54">
        <f t="shared" si="6"/>
        <v>96</v>
      </c>
      <c r="B52" s="55">
        <f t="shared" si="1"/>
        <v>0</v>
      </c>
      <c r="C52" s="56">
        <f t="shared" si="2"/>
        <v>-0.72598933501908647</v>
      </c>
      <c r="D52" s="56">
        <f t="shared" si="3"/>
        <v>-5.0598788417066709</v>
      </c>
      <c r="E52" s="56">
        <f t="shared" si="4"/>
        <v>0</v>
      </c>
      <c r="F52" s="175">
        <f t="shared" si="5"/>
        <v>-5.7858681767257574</v>
      </c>
    </row>
    <row r="53" spans="1:6" x14ac:dyDescent="0.25">
      <c r="A53" s="54">
        <f t="shared" si="6"/>
        <v>98</v>
      </c>
      <c r="B53" s="55">
        <f t="shared" si="1"/>
        <v>0</v>
      </c>
      <c r="C53" s="56">
        <f t="shared" si="2"/>
        <v>-2.7259893350190865</v>
      </c>
      <c r="D53" s="56">
        <f t="shared" si="3"/>
        <v>-5.0598788417066709</v>
      </c>
      <c r="E53" s="56">
        <f t="shared" si="4"/>
        <v>0</v>
      </c>
      <c r="F53" s="175">
        <f t="shared" si="5"/>
        <v>-7.7858681767257574</v>
      </c>
    </row>
    <row r="54" spans="1:6" x14ac:dyDescent="0.25">
      <c r="A54" s="54">
        <f t="shared" si="6"/>
        <v>100</v>
      </c>
      <c r="B54" s="55">
        <f t="shared" si="1"/>
        <v>0</v>
      </c>
      <c r="C54" s="56">
        <f t="shared" si="2"/>
        <v>-4.7259893350190865</v>
      </c>
      <c r="D54" s="56">
        <f t="shared" si="3"/>
        <v>-5.0598788417066709</v>
      </c>
      <c r="E54" s="56">
        <f t="shared" si="4"/>
        <v>0</v>
      </c>
      <c r="F54" s="175">
        <f t="shared" si="5"/>
        <v>-9.7858681767257565</v>
      </c>
    </row>
    <row r="55" spans="1:6" x14ac:dyDescent="0.25">
      <c r="A55" s="54">
        <f t="shared" si="6"/>
        <v>102</v>
      </c>
      <c r="B55" s="55">
        <f t="shared" si="1"/>
        <v>0</v>
      </c>
      <c r="C55" s="56">
        <f t="shared" si="2"/>
        <v>-4.7259893350190865</v>
      </c>
      <c r="D55" s="56">
        <f t="shared" si="3"/>
        <v>-3.0598788417066709</v>
      </c>
      <c r="E55" s="56">
        <f t="shared" si="4"/>
        <v>0</v>
      </c>
      <c r="F55" s="175">
        <f t="shared" si="5"/>
        <v>-7.7858681767257574</v>
      </c>
    </row>
    <row r="56" spans="1:6" x14ac:dyDescent="0.25">
      <c r="A56" s="54">
        <f t="shared" si="6"/>
        <v>104</v>
      </c>
      <c r="B56" s="55">
        <f t="shared" si="1"/>
        <v>0</v>
      </c>
      <c r="C56" s="56">
        <f t="shared" si="2"/>
        <v>-4.7259893350190865</v>
      </c>
      <c r="D56" s="56">
        <f t="shared" si="3"/>
        <v>-1.0598788417066709</v>
      </c>
      <c r="E56" s="56">
        <f t="shared" si="4"/>
        <v>0</v>
      </c>
      <c r="F56" s="175">
        <f t="shared" si="5"/>
        <v>-5.7858681767257574</v>
      </c>
    </row>
    <row r="57" spans="1:6" x14ac:dyDescent="0.25">
      <c r="A57" s="54">
        <f t="shared" si="6"/>
        <v>106</v>
      </c>
      <c r="B57" s="55">
        <f t="shared" si="1"/>
        <v>0</v>
      </c>
      <c r="C57" s="56">
        <f t="shared" si="2"/>
        <v>-4.7259893350190865</v>
      </c>
      <c r="D57" s="56">
        <f t="shared" si="3"/>
        <v>0.9401211582933291</v>
      </c>
      <c r="E57" s="56">
        <f t="shared" si="4"/>
        <v>0</v>
      </c>
      <c r="F57" s="175">
        <f t="shared" si="5"/>
        <v>-3.7858681767257574</v>
      </c>
    </row>
    <row r="58" spans="1:6" x14ac:dyDescent="0.25">
      <c r="A58" s="54">
        <f t="shared" si="6"/>
        <v>108</v>
      </c>
      <c r="B58" s="55">
        <f t="shared" si="1"/>
        <v>0</v>
      </c>
      <c r="C58" s="56">
        <f t="shared" si="2"/>
        <v>-4.7259893350190865</v>
      </c>
      <c r="D58" s="56">
        <f t="shared" si="3"/>
        <v>2.9401211582933291</v>
      </c>
      <c r="E58" s="56">
        <f t="shared" si="4"/>
        <v>0</v>
      </c>
      <c r="F58" s="175">
        <f t="shared" si="5"/>
        <v>-1.7858681767257574</v>
      </c>
    </row>
    <row r="59" spans="1:6" x14ac:dyDescent="0.25">
      <c r="A59" s="54">
        <f t="shared" si="6"/>
        <v>110</v>
      </c>
      <c r="B59" s="55">
        <f t="shared" si="1"/>
        <v>0</v>
      </c>
      <c r="C59" s="56">
        <f t="shared" si="2"/>
        <v>-4.7259893350190865</v>
      </c>
      <c r="D59" s="56">
        <f t="shared" si="3"/>
        <v>4.9401211582933291</v>
      </c>
      <c r="E59" s="56">
        <f t="shared" si="4"/>
        <v>0</v>
      </c>
      <c r="F59" s="175">
        <f t="shared" si="5"/>
        <v>0.21413182327424263</v>
      </c>
    </row>
    <row r="60" spans="1:6" x14ac:dyDescent="0.25">
      <c r="A60" s="54">
        <f t="shared" si="6"/>
        <v>112</v>
      </c>
      <c r="B60" s="55">
        <f t="shared" si="1"/>
        <v>0</v>
      </c>
      <c r="C60" s="56">
        <f t="shared" si="2"/>
        <v>-4.7259893350190865</v>
      </c>
      <c r="D60" s="56">
        <f t="shared" si="3"/>
        <v>6.9401211582933291</v>
      </c>
      <c r="E60" s="56">
        <f t="shared" si="4"/>
        <v>0</v>
      </c>
      <c r="F60" s="175">
        <f t="shared" si="5"/>
        <v>2.2141318232742426</v>
      </c>
    </row>
    <row r="61" spans="1:6" x14ac:dyDescent="0.25">
      <c r="A61" s="54">
        <f t="shared" si="6"/>
        <v>114</v>
      </c>
      <c r="B61" s="55">
        <f t="shared" si="1"/>
        <v>0</v>
      </c>
      <c r="C61" s="56">
        <f t="shared" si="2"/>
        <v>-4.7259893350190865</v>
      </c>
      <c r="D61" s="56">
        <f t="shared" si="3"/>
        <v>8.94012115829333</v>
      </c>
      <c r="E61" s="56">
        <f t="shared" si="4"/>
        <v>0</v>
      </c>
      <c r="F61" s="175">
        <f t="shared" si="5"/>
        <v>4.2141318232742435</v>
      </c>
    </row>
    <row r="62" spans="1:6" x14ac:dyDescent="0.25">
      <c r="A62" s="54">
        <f t="shared" si="6"/>
        <v>116</v>
      </c>
      <c r="B62" s="55">
        <f t="shared" si="1"/>
        <v>0</v>
      </c>
      <c r="C62" s="56">
        <f t="shared" si="2"/>
        <v>-4.7259893350190865</v>
      </c>
      <c r="D62" s="56">
        <f t="shared" si="3"/>
        <v>10.94012115829333</v>
      </c>
      <c r="E62" s="56">
        <f t="shared" si="4"/>
        <v>0</v>
      </c>
      <c r="F62" s="175">
        <f t="shared" si="5"/>
        <v>6.2141318232742435</v>
      </c>
    </row>
    <row r="63" spans="1:6" x14ac:dyDescent="0.25">
      <c r="A63" s="54">
        <f t="shared" si="6"/>
        <v>118</v>
      </c>
      <c r="B63" s="55">
        <f t="shared" si="1"/>
        <v>0</v>
      </c>
      <c r="C63" s="56">
        <f t="shared" si="2"/>
        <v>-4.7259893350190865</v>
      </c>
      <c r="D63" s="56">
        <f t="shared" si="3"/>
        <v>12.94012115829333</v>
      </c>
      <c r="E63" s="56">
        <f t="shared" si="4"/>
        <v>0</v>
      </c>
      <c r="F63" s="175">
        <f t="shared" si="5"/>
        <v>8.2141318232742435</v>
      </c>
    </row>
    <row r="64" spans="1:6" x14ac:dyDescent="0.25">
      <c r="A64" s="54">
        <f t="shared" si="6"/>
        <v>120</v>
      </c>
      <c r="B64" s="55">
        <f t="shared" si="1"/>
        <v>0</v>
      </c>
      <c r="C64" s="56">
        <f t="shared" si="2"/>
        <v>-4.7259893350190865</v>
      </c>
      <c r="D64" s="56">
        <f t="shared" si="3"/>
        <v>14.94012115829333</v>
      </c>
      <c r="E64" s="56">
        <f t="shared" si="4"/>
        <v>0</v>
      </c>
      <c r="F64" s="175">
        <f t="shared" si="5"/>
        <v>10.214131823274244</v>
      </c>
    </row>
    <row r="65" spans="1:6" x14ac:dyDescent="0.25">
      <c r="A65" s="54">
        <f t="shared" si="6"/>
        <v>122</v>
      </c>
      <c r="B65" s="55">
        <f t="shared" si="1"/>
        <v>0</v>
      </c>
      <c r="C65" s="56">
        <f t="shared" si="2"/>
        <v>-4.7259893350190865</v>
      </c>
      <c r="D65" s="56">
        <f t="shared" si="3"/>
        <v>16.94012115829333</v>
      </c>
      <c r="E65" s="56">
        <f t="shared" si="4"/>
        <v>0</v>
      </c>
      <c r="F65" s="175">
        <f t="shared" si="5"/>
        <v>12.214131823274244</v>
      </c>
    </row>
    <row r="66" spans="1:6" x14ac:dyDescent="0.25">
      <c r="A66" s="54">
        <f t="shared" si="6"/>
        <v>124</v>
      </c>
      <c r="B66" s="55">
        <f t="shared" si="1"/>
        <v>0</v>
      </c>
      <c r="C66" s="56">
        <f t="shared" si="2"/>
        <v>-4.7259893350190865</v>
      </c>
      <c r="D66" s="56">
        <f t="shared" si="3"/>
        <v>18.94012115829333</v>
      </c>
      <c r="E66" s="56">
        <f t="shared" si="4"/>
        <v>0</v>
      </c>
      <c r="F66" s="175">
        <f t="shared" si="5"/>
        <v>14.214131823274244</v>
      </c>
    </row>
    <row r="67" spans="1:6" x14ac:dyDescent="0.25">
      <c r="A67" s="54">
        <f t="shared" si="6"/>
        <v>126</v>
      </c>
      <c r="B67" s="55">
        <f t="shared" si="1"/>
        <v>0</v>
      </c>
      <c r="C67" s="56">
        <f t="shared" si="2"/>
        <v>-4.7259893350190865</v>
      </c>
      <c r="D67" s="56">
        <f t="shared" si="3"/>
        <v>20.94012115829333</v>
      </c>
      <c r="E67" s="56">
        <f t="shared" si="4"/>
        <v>0</v>
      </c>
      <c r="F67" s="175">
        <f t="shared" si="5"/>
        <v>16.214131823274244</v>
      </c>
    </row>
    <row r="68" spans="1:6" x14ac:dyDescent="0.25">
      <c r="A68" s="54">
        <f t="shared" si="6"/>
        <v>128</v>
      </c>
      <c r="B68" s="55">
        <f t="shared" si="1"/>
        <v>0</v>
      </c>
      <c r="C68" s="56">
        <f t="shared" si="2"/>
        <v>-4.7259893350190865</v>
      </c>
      <c r="D68" s="56">
        <f t="shared" si="3"/>
        <v>22.94012115829333</v>
      </c>
      <c r="E68" s="56">
        <f t="shared" si="4"/>
        <v>0</v>
      </c>
      <c r="F68" s="175">
        <f t="shared" si="5"/>
        <v>18.214131823274244</v>
      </c>
    </row>
    <row r="69" spans="1:6" x14ac:dyDescent="0.25">
      <c r="A69" s="54">
        <f t="shared" si="6"/>
        <v>130</v>
      </c>
      <c r="B69" s="55">
        <f t="shared" ref="B69:B104" si="7">(MAX(IF($B$1="C",1,-1)*(A69-$K$5),0)-IF($K$10="Y",$K$13*EXP($K$6*$K$9),0))*$K$4</f>
        <v>0</v>
      </c>
      <c r="C69" s="56">
        <f t="shared" ref="C69:C104" si="8">(MAX(IF($C$1="C",1,-1)*(A69-$L$5),0)-IF($K$10="Y",$L$13*EXP($K$6*$K$9),0))*$L$4</f>
        <v>-4.7259893350190865</v>
      </c>
      <c r="D69" s="56">
        <f t="shared" ref="D69:D104" si="9">(MAX(IF($D$1="C",1,-1)*(A69-$M$5),0)-IF($K$10="Y",$M$13*EXP($K$6*$K$9),0))*$M$4</f>
        <v>24.94012115829333</v>
      </c>
      <c r="E69" s="56">
        <f t="shared" ref="E69:E104" si="10">(MAX(IF($E$1="C",1,-1)*(A69-$N$5),0)-IF($K$10="Y",$N$13*EXP($K$6*$K$9),0))*$N$4</f>
        <v>0</v>
      </c>
      <c r="F69" s="175">
        <f t="shared" ref="F69:F104" si="11">SUM(B69:E69)</f>
        <v>20.214131823274244</v>
      </c>
    </row>
    <row r="70" spans="1:6" x14ac:dyDescent="0.25">
      <c r="A70" s="54">
        <f t="shared" ref="A70:A104" si="12">A69+2</f>
        <v>132</v>
      </c>
      <c r="B70" s="55">
        <f t="shared" si="7"/>
        <v>0</v>
      </c>
      <c r="C70" s="56">
        <f t="shared" si="8"/>
        <v>-4.7259893350190865</v>
      </c>
      <c r="D70" s="56">
        <f t="shared" si="9"/>
        <v>26.94012115829333</v>
      </c>
      <c r="E70" s="56">
        <f t="shared" si="10"/>
        <v>0</v>
      </c>
      <c r="F70" s="175">
        <f t="shared" si="11"/>
        <v>22.214131823274244</v>
      </c>
    </row>
    <row r="71" spans="1:6" x14ac:dyDescent="0.25">
      <c r="A71" s="54">
        <f t="shared" si="12"/>
        <v>134</v>
      </c>
      <c r="B71" s="55">
        <f t="shared" si="7"/>
        <v>0</v>
      </c>
      <c r="C71" s="56">
        <f t="shared" si="8"/>
        <v>-4.7259893350190865</v>
      </c>
      <c r="D71" s="56">
        <f t="shared" si="9"/>
        <v>28.94012115829333</v>
      </c>
      <c r="E71" s="56">
        <f t="shared" si="10"/>
        <v>0</v>
      </c>
      <c r="F71" s="175">
        <f t="shared" si="11"/>
        <v>24.214131823274244</v>
      </c>
    </row>
    <row r="72" spans="1:6" x14ac:dyDescent="0.25">
      <c r="A72" s="54">
        <f t="shared" si="12"/>
        <v>136</v>
      </c>
      <c r="B72" s="55">
        <f t="shared" si="7"/>
        <v>0</v>
      </c>
      <c r="C72" s="56">
        <f t="shared" si="8"/>
        <v>-4.7259893350190865</v>
      </c>
      <c r="D72" s="56">
        <f t="shared" si="9"/>
        <v>30.94012115829333</v>
      </c>
      <c r="E72" s="56">
        <f t="shared" si="10"/>
        <v>0</v>
      </c>
      <c r="F72" s="175">
        <f t="shared" si="11"/>
        <v>26.214131823274244</v>
      </c>
    </row>
    <row r="73" spans="1:6" x14ac:dyDescent="0.25">
      <c r="A73" s="54">
        <f t="shared" si="12"/>
        <v>138</v>
      </c>
      <c r="B73" s="55">
        <f t="shared" si="7"/>
        <v>0</v>
      </c>
      <c r="C73" s="56">
        <f t="shared" si="8"/>
        <v>-4.7259893350190865</v>
      </c>
      <c r="D73" s="56">
        <f t="shared" si="9"/>
        <v>32.94012115829333</v>
      </c>
      <c r="E73" s="56">
        <f t="shared" si="10"/>
        <v>0</v>
      </c>
      <c r="F73" s="175">
        <f t="shared" si="11"/>
        <v>28.214131823274244</v>
      </c>
    </row>
    <row r="74" spans="1:6" x14ac:dyDescent="0.25">
      <c r="A74" s="54">
        <f t="shared" si="12"/>
        <v>140</v>
      </c>
      <c r="B74" s="55">
        <f t="shared" si="7"/>
        <v>0</v>
      </c>
      <c r="C74" s="56">
        <f t="shared" si="8"/>
        <v>-4.7259893350190865</v>
      </c>
      <c r="D74" s="56">
        <f t="shared" si="9"/>
        <v>34.94012115829333</v>
      </c>
      <c r="E74" s="56">
        <f t="shared" si="10"/>
        <v>0</v>
      </c>
      <c r="F74" s="175">
        <f t="shared" si="11"/>
        <v>30.214131823274244</v>
      </c>
    </row>
    <row r="75" spans="1:6" x14ac:dyDescent="0.25">
      <c r="A75" s="54">
        <f t="shared" si="12"/>
        <v>142</v>
      </c>
      <c r="B75" s="55">
        <f t="shared" si="7"/>
        <v>0</v>
      </c>
      <c r="C75" s="56">
        <f t="shared" si="8"/>
        <v>-4.7259893350190865</v>
      </c>
      <c r="D75" s="56">
        <f t="shared" si="9"/>
        <v>36.94012115829333</v>
      </c>
      <c r="E75" s="56">
        <f t="shared" si="10"/>
        <v>0</v>
      </c>
      <c r="F75" s="175">
        <f t="shared" si="11"/>
        <v>32.214131823274244</v>
      </c>
    </row>
    <row r="76" spans="1:6" x14ac:dyDescent="0.25">
      <c r="A76" s="54">
        <f t="shared" si="12"/>
        <v>144</v>
      </c>
      <c r="B76" s="55">
        <f t="shared" si="7"/>
        <v>0</v>
      </c>
      <c r="C76" s="56">
        <f t="shared" si="8"/>
        <v>-4.7259893350190865</v>
      </c>
      <c r="D76" s="56">
        <f t="shared" si="9"/>
        <v>38.94012115829333</v>
      </c>
      <c r="E76" s="56">
        <f t="shared" si="10"/>
        <v>0</v>
      </c>
      <c r="F76" s="175">
        <f t="shared" si="11"/>
        <v>34.214131823274244</v>
      </c>
    </row>
    <row r="77" spans="1:6" x14ac:dyDescent="0.25">
      <c r="A77" s="54">
        <f t="shared" si="12"/>
        <v>146</v>
      </c>
      <c r="B77" s="55">
        <f t="shared" si="7"/>
        <v>0</v>
      </c>
      <c r="C77" s="56">
        <f t="shared" si="8"/>
        <v>-4.7259893350190865</v>
      </c>
      <c r="D77" s="56">
        <f t="shared" si="9"/>
        <v>40.94012115829333</v>
      </c>
      <c r="E77" s="56">
        <f t="shared" si="10"/>
        <v>0</v>
      </c>
      <c r="F77" s="175">
        <f t="shared" si="11"/>
        <v>36.214131823274244</v>
      </c>
    </row>
    <row r="78" spans="1:6" x14ac:dyDescent="0.25">
      <c r="A78" s="54">
        <f t="shared" si="12"/>
        <v>148</v>
      </c>
      <c r="B78" s="55">
        <f t="shared" si="7"/>
        <v>0</v>
      </c>
      <c r="C78" s="56">
        <f t="shared" si="8"/>
        <v>-4.7259893350190865</v>
      </c>
      <c r="D78" s="56">
        <f t="shared" si="9"/>
        <v>42.94012115829333</v>
      </c>
      <c r="E78" s="56">
        <f t="shared" si="10"/>
        <v>0</v>
      </c>
      <c r="F78" s="175">
        <f t="shared" si="11"/>
        <v>38.214131823274244</v>
      </c>
    </row>
    <row r="79" spans="1:6" x14ac:dyDescent="0.25">
      <c r="A79" s="54">
        <f t="shared" si="12"/>
        <v>150</v>
      </c>
      <c r="B79" s="55">
        <f t="shared" si="7"/>
        <v>0</v>
      </c>
      <c r="C79" s="56">
        <f t="shared" si="8"/>
        <v>-4.7259893350190865</v>
      </c>
      <c r="D79" s="56">
        <f t="shared" si="9"/>
        <v>44.94012115829333</v>
      </c>
      <c r="E79" s="56">
        <f t="shared" si="10"/>
        <v>0</v>
      </c>
      <c r="F79" s="175">
        <f t="shared" si="11"/>
        <v>40.214131823274244</v>
      </c>
    </row>
    <row r="80" spans="1:6" x14ac:dyDescent="0.25">
      <c r="A80" s="54">
        <f t="shared" si="12"/>
        <v>152</v>
      </c>
      <c r="B80" s="55">
        <f t="shared" si="7"/>
        <v>0</v>
      </c>
      <c r="C80" s="56">
        <f t="shared" si="8"/>
        <v>-4.7259893350190865</v>
      </c>
      <c r="D80" s="56">
        <f t="shared" si="9"/>
        <v>46.94012115829333</v>
      </c>
      <c r="E80" s="56">
        <f t="shared" si="10"/>
        <v>0</v>
      </c>
      <c r="F80" s="175">
        <f t="shared" si="11"/>
        <v>42.214131823274244</v>
      </c>
    </row>
    <row r="81" spans="1:6" x14ac:dyDescent="0.25">
      <c r="A81" s="54">
        <f t="shared" si="12"/>
        <v>154</v>
      </c>
      <c r="B81" s="55">
        <f t="shared" si="7"/>
        <v>0</v>
      </c>
      <c r="C81" s="56">
        <f t="shared" si="8"/>
        <v>-4.7259893350190865</v>
      </c>
      <c r="D81" s="56">
        <f t="shared" si="9"/>
        <v>48.94012115829333</v>
      </c>
      <c r="E81" s="56">
        <f t="shared" si="10"/>
        <v>0</v>
      </c>
      <c r="F81" s="175">
        <f t="shared" si="11"/>
        <v>44.214131823274244</v>
      </c>
    </row>
    <row r="82" spans="1:6" x14ac:dyDescent="0.25">
      <c r="A82" s="54">
        <f t="shared" si="12"/>
        <v>156</v>
      </c>
      <c r="B82" s="55">
        <f t="shared" si="7"/>
        <v>0</v>
      </c>
      <c r="C82" s="56">
        <f t="shared" si="8"/>
        <v>-4.7259893350190865</v>
      </c>
      <c r="D82" s="56">
        <f t="shared" si="9"/>
        <v>50.94012115829333</v>
      </c>
      <c r="E82" s="56">
        <f t="shared" si="10"/>
        <v>0</v>
      </c>
      <c r="F82" s="175">
        <f t="shared" si="11"/>
        <v>46.214131823274244</v>
      </c>
    </row>
    <row r="83" spans="1:6" x14ac:dyDescent="0.25">
      <c r="A83" s="54">
        <f t="shared" si="12"/>
        <v>158</v>
      </c>
      <c r="B83" s="55">
        <f t="shared" si="7"/>
        <v>0</v>
      </c>
      <c r="C83" s="56">
        <f t="shared" si="8"/>
        <v>-4.7259893350190865</v>
      </c>
      <c r="D83" s="56">
        <f t="shared" si="9"/>
        <v>52.94012115829333</v>
      </c>
      <c r="E83" s="56">
        <f t="shared" si="10"/>
        <v>0</v>
      </c>
      <c r="F83" s="175">
        <f t="shared" si="11"/>
        <v>48.214131823274244</v>
      </c>
    </row>
    <row r="84" spans="1:6" x14ac:dyDescent="0.25">
      <c r="A84" s="54">
        <f t="shared" si="12"/>
        <v>160</v>
      </c>
      <c r="B84" s="55">
        <f t="shared" si="7"/>
        <v>0</v>
      </c>
      <c r="C84" s="56">
        <f t="shared" si="8"/>
        <v>-4.7259893350190865</v>
      </c>
      <c r="D84" s="56">
        <f t="shared" si="9"/>
        <v>54.94012115829333</v>
      </c>
      <c r="E84" s="56">
        <f t="shared" si="10"/>
        <v>0</v>
      </c>
      <c r="F84" s="175">
        <f t="shared" si="11"/>
        <v>50.214131823274244</v>
      </c>
    </row>
    <row r="85" spans="1:6" x14ac:dyDescent="0.25">
      <c r="A85" s="54">
        <f t="shared" si="12"/>
        <v>162</v>
      </c>
      <c r="B85" s="55">
        <f t="shared" si="7"/>
        <v>0</v>
      </c>
      <c r="C85" s="56">
        <f t="shared" si="8"/>
        <v>-4.7259893350190865</v>
      </c>
      <c r="D85" s="56">
        <f t="shared" si="9"/>
        <v>56.94012115829333</v>
      </c>
      <c r="E85" s="56">
        <f t="shared" si="10"/>
        <v>0</v>
      </c>
      <c r="F85" s="175">
        <f t="shared" si="11"/>
        <v>52.214131823274244</v>
      </c>
    </row>
    <row r="86" spans="1:6" x14ac:dyDescent="0.25">
      <c r="A86" s="54">
        <f t="shared" si="12"/>
        <v>164</v>
      </c>
      <c r="B86" s="55">
        <f t="shared" si="7"/>
        <v>0</v>
      </c>
      <c r="C86" s="56">
        <f t="shared" si="8"/>
        <v>-4.7259893350190865</v>
      </c>
      <c r="D86" s="56">
        <f t="shared" si="9"/>
        <v>58.94012115829333</v>
      </c>
      <c r="E86" s="56">
        <f t="shared" si="10"/>
        <v>0</v>
      </c>
      <c r="F86" s="175">
        <f t="shared" si="11"/>
        <v>54.214131823274244</v>
      </c>
    </row>
    <row r="87" spans="1:6" x14ac:dyDescent="0.25">
      <c r="A87" s="54">
        <f t="shared" si="12"/>
        <v>166</v>
      </c>
      <c r="B87" s="55">
        <f t="shared" si="7"/>
        <v>0</v>
      </c>
      <c r="C87" s="56">
        <f t="shared" si="8"/>
        <v>-4.7259893350190865</v>
      </c>
      <c r="D87" s="56">
        <f t="shared" si="9"/>
        <v>60.94012115829333</v>
      </c>
      <c r="E87" s="56">
        <f t="shared" si="10"/>
        <v>0</v>
      </c>
      <c r="F87" s="175">
        <f t="shared" si="11"/>
        <v>56.214131823274244</v>
      </c>
    </row>
    <row r="88" spans="1:6" x14ac:dyDescent="0.25">
      <c r="A88" s="54">
        <f t="shared" si="12"/>
        <v>168</v>
      </c>
      <c r="B88" s="55">
        <f t="shared" si="7"/>
        <v>0</v>
      </c>
      <c r="C88" s="56">
        <f t="shared" si="8"/>
        <v>-4.7259893350190865</v>
      </c>
      <c r="D88" s="56">
        <f t="shared" si="9"/>
        <v>62.94012115829333</v>
      </c>
      <c r="E88" s="56">
        <f t="shared" si="10"/>
        <v>0</v>
      </c>
      <c r="F88" s="175">
        <f t="shared" si="11"/>
        <v>58.214131823274244</v>
      </c>
    </row>
    <row r="89" spans="1:6" x14ac:dyDescent="0.25">
      <c r="A89" s="54">
        <f t="shared" si="12"/>
        <v>170</v>
      </c>
      <c r="B89" s="55">
        <f t="shared" si="7"/>
        <v>0</v>
      </c>
      <c r="C89" s="56">
        <f t="shared" si="8"/>
        <v>-4.7259893350190865</v>
      </c>
      <c r="D89" s="56">
        <f t="shared" si="9"/>
        <v>64.940121158293323</v>
      </c>
      <c r="E89" s="56">
        <f t="shared" si="10"/>
        <v>0</v>
      </c>
      <c r="F89" s="175">
        <f t="shared" si="11"/>
        <v>60.214131823274236</v>
      </c>
    </row>
    <row r="90" spans="1:6" x14ac:dyDescent="0.25">
      <c r="A90" s="54">
        <f t="shared" si="12"/>
        <v>172</v>
      </c>
      <c r="B90" s="55">
        <f t="shared" si="7"/>
        <v>0</v>
      </c>
      <c r="C90" s="56">
        <f t="shared" si="8"/>
        <v>-4.7259893350190865</v>
      </c>
      <c r="D90" s="56">
        <f t="shared" si="9"/>
        <v>66.940121158293323</v>
      </c>
      <c r="E90" s="56">
        <f t="shared" si="10"/>
        <v>0</v>
      </c>
      <c r="F90" s="175">
        <f t="shared" si="11"/>
        <v>62.214131823274236</v>
      </c>
    </row>
    <row r="91" spans="1:6" x14ac:dyDescent="0.25">
      <c r="A91" s="54">
        <f t="shared" si="12"/>
        <v>174</v>
      </c>
      <c r="B91" s="55">
        <f t="shared" si="7"/>
        <v>0</v>
      </c>
      <c r="C91" s="56">
        <f t="shared" si="8"/>
        <v>-4.7259893350190865</v>
      </c>
      <c r="D91" s="56">
        <f t="shared" si="9"/>
        <v>68.940121158293323</v>
      </c>
      <c r="E91" s="56">
        <f t="shared" si="10"/>
        <v>0</v>
      </c>
      <c r="F91" s="175">
        <f t="shared" si="11"/>
        <v>64.214131823274244</v>
      </c>
    </row>
    <row r="92" spans="1:6" x14ac:dyDescent="0.25">
      <c r="A92" s="54">
        <f t="shared" si="12"/>
        <v>176</v>
      </c>
      <c r="B92" s="55">
        <f t="shared" si="7"/>
        <v>0</v>
      </c>
      <c r="C92" s="56">
        <f t="shared" si="8"/>
        <v>-4.7259893350190865</v>
      </c>
      <c r="D92" s="56">
        <f t="shared" si="9"/>
        <v>70.940121158293323</v>
      </c>
      <c r="E92" s="56">
        <f t="shared" si="10"/>
        <v>0</v>
      </c>
      <c r="F92" s="175">
        <f t="shared" si="11"/>
        <v>66.214131823274244</v>
      </c>
    </row>
    <row r="93" spans="1:6" x14ac:dyDescent="0.25">
      <c r="A93" s="54">
        <f t="shared" si="12"/>
        <v>178</v>
      </c>
      <c r="B93" s="55">
        <f t="shared" si="7"/>
        <v>0</v>
      </c>
      <c r="C93" s="56">
        <f t="shared" si="8"/>
        <v>-4.7259893350190865</v>
      </c>
      <c r="D93" s="56">
        <f t="shared" si="9"/>
        <v>72.940121158293323</v>
      </c>
      <c r="E93" s="56">
        <f t="shared" si="10"/>
        <v>0</v>
      </c>
      <c r="F93" s="175">
        <f t="shared" si="11"/>
        <v>68.214131823274244</v>
      </c>
    </row>
    <row r="94" spans="1:6" x14ac:dyDescent="0.25">
      <c r="A94" s="54">
        <f t="shared" si="12"/>
        <v>180</v>
      </c>
      <c r="B94" s="55">
        <f t="shared" si="7"/>
        <v>0</v>
      </c>
      <c r="C94" s="56">
        <f t="shared" si="8"/>
        <v>-4.7259893350190865</v>
      </c>
      <c r="D94" s="56">
        <f t="shared" si="9"/>
        <v>74.940121158293323</v>
      </c>
      <c r="E94" s="56">
        <f t="shared" si="10"/>
        <v>0</v>
      </c>
      <c r="F94" s="175">
        <f t="shared" si="11"/>
        <v>70.214131823274244</v>
      </c>
    </row>
    <row r="95" spans="1:6" x14ac:dyDescent="0.25">
      <c r="A95" s="54">
        <f t="shared" si="12"/>
        <v>182</v>
      </c>
      <c r="B95" s="55">
        <f t="shared" si="7"/>
        <v>0</v>
      </c>
      <c r="C95" s="56">
        <f t="shared" si="8"/>
        <v>-4.7259893350190865</v>
      </c>
      <c r="D95" s="56">
        <f t="shared" si="9"/>
        <v>76.940121158293323</v>
      </c>
      <c r="E95" s="56">
        <f t="shared" si="10"/>
        <v>0</v>
      </c>
      <c r="F95" s="175">
        <f t="shared" si="11"/>
        <v>72.214131823274244</v>
      </c>
    </row>
    <row r="96" spans="1:6" x14ac:dyDescent="0.25">
      <c r="A96" s="54">
        <f t="shared" si="12"/>
        <v>184</v>
      </c>
      <c r="B96" s="55">
        <f t="shared" si="7"/>
        <v>0</v>
      </c>
      <c r="C96" s="56">
        <f t="shared" si="8"/>
        <v>-4.7259893350190865</v>
      </c>
      <c r="D96" s="56">
        <f t="shared" si="9"/>
        <v>78.940121158293323</v>
      </c>
      <c r="E96" s="56">
        <f t="shared" si="10"/>
        <v>0</v>
      </c>
      <c r="F96" s="175">
        <f t="shared" si="11"/>
        <v>74.214131823274244</v>
      </c>
    </row>
    <row r="97" spans="1:6" x14ac:dyDescent="0.25">
      <c r="A97" s="54">
        <f t="shared" si="12"/>
        <v>186</v>
      </c>
      <c r="B97" s="55">
        <f t="shared" si="7"/>
        <v>0</v>
      </c>
      <c r="C97" s="56">
        <f t="shared" si="8"/>
        <v>-4.7259893350190865</v>
      </c>
      <c r="D97" s="56">
        <f t="shared" si="9"/>
        <v>80.940121158293323</v>
      </c>
      <c r="E97" s="56">
        <f t="shared" si="10"/>
        <v>0</v>
      </c>
      <c r="F97" s="175">
        <f t="shared" si="11"/>
        <v>76.214131823274244</v>
      </c>
    </row>
    <row r="98" spans="1:6" x14ac:dyDescent="0.25">
      <c r="A98" s="54">
        <f t="shared" si="12"/>
        <v>188</v>
      </c>
      <c r="B98" s="55">
        <f t="shared" si="7"/>
        <v>0</v>
      </c>
      <c r="C98" s="56">
        <f t="shared" si="8"/>
        <v>-4.7259893350190865</v>
      </c>
      <c r="D98" s="56">
        <f t="shared" si="9"/>
        <v>82.940121158293323</v>
      </c>
      <c r="E98" s="56">
        <f t="shared" si="10"/>
        <v>0</v>
      </c>
      <c r="F98" s="175">
        <f t="shared" si="11"/>
        <v>78.214131823274244</v>
      </c>
    </row>
    <row r="99" spans="1:6" x14ac:dyDescent="0.25">
      <c r="A99" s="54">
        <f t="shared" si="12"/>
        <v>190</v>
      </c>
      <c r="B99" s="55">
        <f t="shared" si="7"/>
        <v>0</v>
      </c>
      <c r="C99" s="56">
        <f t="shared" si="8"/>
        <v>-4.7259893350190865</v>
      </c>
      <c r="D99" s="56">
        <f t="shared" si="9"/>
        <v>84.940121158293323</v>
      </c>
      <c r="E99" s="56">
        <f t="shared" si="10"/>
        <v>0</v>
      </c>
      <c r="F99" s="175">
        <f t="shared" si="11"/>
        <v>80.214131823274244</v>
      </c>
    </row>
    <row r="100" spans="1:6" x14ac:dyDescent="0.25">
      <c r="A100" s="54">
        <f t="shared" si="12"/>
        <v>192</v>
      </c>
      <c r="B100" s="55">
        <f t="shared" si="7"/>
        <v>0</v>
      </c>
      <c r="C100" s="56">
        <f t="shared" si="8"/>
        <v>-4.7259893350190865</v>
      </c>
      <c r="D100" s="56">
        <f t="shared" si="9"/>
        <v>86.940121158293323</v>
      </c>
      <c r="E100" s="56">
        <f t="shared" si="10"/>
        <v>0</v>
      </c>
      <c r="F100" s="175">
        <f t="shared" si="11"/>
        <v>82.214131823274244</v>
      </c>
    </row>
    <row r="101" spans="1:6" x14ac:dyDescent="0.25">
      <c r="A101" s="54">
        <f t="shared" si="12"/>
        <v>194</v>
      </c>
      <c r="B101" s="55">
        <f t="shared" si="7"/>
        <v>0</v>
      </c>
      <c r="C101" s="56">
        <f t="shared" si="8"/>
        <v>-4.7259893350190865</v>
      </c>
      <c r="D101" s="56">
        <f t="shared" si="9"/>
        <v>88.940121158293323</v>
      </c>
      <c r="E101" s="56">
        <f t="shared" si="10"/>
        <v>0</v>
      </c>
      <c r="F101" s="175">
        <f t="shared" si="11"/>
        <v>84.214131823274244</v>
      </c>
    </row>
    <row r="102" spans="1:6" x14ac:dyDescent="0.25">
      <c r="A102" s="54">
        <f t="shared" si="12"/>
        <v>196</v>
      </c>
      <c r="B102" s="55">
        <f t="shared" si="7"/>
        <v>0</v>
      </c>
      <c r="C102" s="56">
        <f t="shared" si="8"/>
        <v>-4.7259893350190865</v>
      </c>
      <c r="D102" s="56">
        <f t="shared" si="9"/>
        <v>90.940121158293323</v>
      </c>
      <c r="E102" s="56">
        <f t="shared" si="10"/>
        <v>0</v>
      </c>
      <c r="F102" s="175">
        <f t="shared" si="11"/>
        <v>86.214131823274244</v>
      </c>
    </row>
    <row r="103" spans="1:6" x14ac:dyDescent="0.25">
      <c r="A103" s="54">
        <f t="shared" si="12"/>
        <v>198</v>
      </c>
      <c r="B103" s="55">
        <f t="shared" si="7"/>
        <v>0</v>
      </c>
      <c r="C103" s="56">
        <f t="shared" si="8"/>
        <v>-4.7259893350190865</v>
      </c>
      <c r="D103" s="56">
        <f t="shared" si="9"/>
        <v>92.940121158293323</v>
      </c>
      <c r="E103" s="56">
        <f t="shared" si="10"/>
        <v>0</v>
      </c>
      <c r="F103" s="175">
        <f t="shared" si="11"/>
        <v>88.214131823274244</v>
      </c>
    </row>
    <row r="104" spans="1:6" x14ac:dyDescent="0.25">
      <c r="A104" s="64">
        <f t="shared" si="12"/>
        <v>200</v>
      </c>
      <c r="B104" s="65">
        <f t="shared" si="7"/>
        <v>0</v>
      </c>
      <c r="C104" s="58">
        <f t="shared" si="8"/>
        <v>-4.7259893350190865</v>
      </c>
      <c r="D104" s="58">
        <f t="shared" si="9"/>
        <v>94.940121158293323</v>
      </c>
      <c r="E104" s="58">
        <f t="shared" si="10"/>
        <v>0</v>
      </c>
      <c r="F104" s="176">
        <f t="shared" si="11"/>
        <v>90.214131823274244</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I2:I10"/>
    <mergeCell ref="K2:N2"/>
    <mergeCell ref="B3:E3"/>
    <mergeCell ref="K6:N6"/>
    <mergeCell ref="K7:N7"/>
    <mergeCell ref="K8:N8"/>
    <mergeCell ref="K9:N9"/>
    <mergeCell ref="K10:N10"/>
    <mergeCell ref="F1:F3"/>
    <mergeCell ref="A1:A2"/>
    <mergeCell ref="B1:B2"/>
    <mergeCell ref="C1:C2"/>
    <mergeCell ref="D1:D2"/>
    <mergeCell ref="E1:E2"/>
  </mergeCells>
  <pageMargins left="0.75" right="0.75" top="1" bottom="1" header="0.5" footer="0.5"/>
  <pageSetup orientation="portrait" r:id="rId1"/>
  <headerFooter alignWithMargins="0"/>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0D21-FF95-4538-A4FB-ECFB4B1E6547}">
  <dimension ref="A1:N132"/>
  <sheetViews>
    <sheetView topLeftCell="G2" zoomScale="110" zoomScaleNormal="110" workbookViewId="0">
      <selection activeCell="G18" sqref="G18"/>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P</v>
      </c>
      <c r="C1" s="724" t="str">
        <f>L3</f>
        <v>P</v>
      </c>
      <c r="D1" s="724" t="str">
        <f>M3</f>
        <v>C</v>
      </c>
      <c r="E1" s="724" t="str">
        <f>N3</f>
        <v>C</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98</v>
      </c>
      <c r="L3" s="46" t="s">
        <v>98</v>
      </c>
      <c r="M3" s="46" t="s">
        <v>99</v>
      </c>
      <c r="N3" s="46" t="s">
        <v>99</v>
      </c>
    </row>
    <row r="4" spans="1:14" x14ac:dyDescent="0.25">
      <c r="A4" s="51">
        <v>0</v>
      </c>
      <c r="B4" s="52">
        <f t="shared" ref="B4:B35" si="0">(MAX(IF($B$1="C",1,-1)*(A4-$K$5),0)-IF($K$10="Y",$K$13*EXP($K$6*$K$9),0))*$K$4</f>
        <v>0</v>
      </c>
      <c r="C4" s="45">
        <f t="shared" ref="C4:C35" si="1">(MAX(IF($C$1="C",1,-1)*(A4-$L$5),0)-IF($K$10="Y",$L$13*EXP($K$6*$K$9),0))*$L$4</f>
        <v>79.861928048828133</v>
      </c>
      <c r="D4" s="45">
        <f t="shared" ref="D4:D35" si="2">(MAX(IF($D$1="C",1,-1)*(A4-$M$5),0)-IF($K$10="Y",$M$13*EXP($K$6*$K$9),0))*$M$4</f>
        <v>-5.0598788417066709</v>
      </c>
      <c r="E4" s="45">
        <f t="shared" ref="E4:E35" si="3">(MAX(IF($E$1="C",1,-1)*(A4-$N$5),0)-IF($K$10="Y",$N$13*EXP($K$6*$K$9),0))*$N$4</f>
        <v>0</v>
      </c>
      <c r="F4" s="174">
        <f t="shared" ref="F4:F35" si="4">SUM(B4:E4)</f>
        <v>74.802049207121456</v>
      </c>
      <c r="I4" s="715"/>
      <c r="J4" s="50" t="s">
        <v>100</v>
      </c>
      <c r="K4" s="46">
        <v>0</v>
      </c>
      <c r="L4" s="46">
        <v>1</v>
      </c>
      <c r="M4" s="46">
        <v>1</v>
      </c>
      <c r="N4" s="46">
        <v>0</v>
      </c>
    </row>
    <row r="5" spans="1:14" x14ac:dyDescent="0.25">
      <c r="A5" s="54">
        <f t="shared" ref="A5:A36" si="5">A4+2</f>
        <v>2</v>
      </c>
      <c r="B5" s="55">
        <f t="shared" si="0"/>
        <v>0</v>
      </c>
      <c r="C5" s="56">
        <f t="shared" si="1"/>
        <v>77.861928048828133</v>
      </c>
      <c r="D5" s="56">
        <f t="shared" si="2"/>
        <v>-5.0598788417066709</v>
      </c>
      <c r="E5" s="56">
        <f t="shared" si="3"/>
        <v>0</v>
      </c>
      <c r="F5" s="175">
        <f t="shared" si="4"/>
        <v>72.802049207121456</v>
      </c>
      <c r="I5" s="715"/>
      <c r="J5" s="56" t="s">
        <v>101</v>
      </c>
      <c r="K5" s="46">
        <v>60</v>
      </c>
      <c r="L5" s="46">
        <v>80</v>
      </c>
      <c r="M5" s="46">
        <v>100</v>
      </c>
      <c r="N5" s="46">
        <v>120</v>
      </c>
    </row>
    <row r="6" spans="1:14" x14ac:dyDescent="0.25">
      <c r="A6" s="54">
        <f t="shared" si="5"/>
        <v>4</v>
      </c>
      <c r="B6" s="55">
        <f t="shared" si="0"/>
        <v>0</v>
      </c>
      <c r="C6" s="56">
        <f t="shared" si="1"/>
        <v>75.861928048828133</v>
      </c>
      <c r="D6" s="56">
        <f t="shared" si="2"/>
        <v>-5.0598788417066709</v>
      </c>
      <c r="E6" s="56">
        <f t="shared" si="3"/>
        <v>0</v>
      </c>
      <c r="F6" s="175">
        <f t="shared" si="4"/>
        <v>70.802049207121456</v>
      </c>
      <c r="I6" s="715"/>
      <c r="J6" s="56" t="s">
        <v>102</v>
      </c>
      <c r="K6" s="758">
        <v>0.02</v>
      </c>
      <c r="L6" s="719"/>
      <c r="M6" s="719"/>
      <c r="N6" s="720"/>
    </row>
    <row r="7" spans="1:14" x14ac:dyDescent="0.25">
      <c r="A7" s="54">
        <f t="shared" si="5"/>
        <v>6</v>
      </c>
      <c r="B7" s="55">
        <f t="shared" si="0"/>
        <v>0</v>
      </c>
      <c r="C7" s="56">
        <f t="shared" si="1"/>
        <v>73.861928048828133</v>
      </c>
      <c r="D7" s="56">
        <f t="shared" si="2"/>
        <v>-5.0598788417066709</v>
      </c>
      <c r="E7" s="56">
        <f t="shared" si="3"/>
        <v>0</v>
      </c>
      <c r="F7" s="175">
        <f t="shared" si="4"/>
        <v>68.802049207121456</v>
      </c>
      <c r="I7" s="715"/>
      <c r="J7" s="56" t="s">
        <v>103</v>
      </c>
      <c r="K7" s="758">
        <v>0</v>
      </c>
      <c r="L7" s="719"/>
      <c r="M7" s="719"/>
      <c r="N7" s="720"/>
    </row>
    <row r="8" spans="1:14" x14ac:dyDescent="0.25">
      <c r="A8" s="54">
        <f t="shared" si="5"/>
        <v>8</v>
      </c>
      <c r="B8" s="55">
        <f t="shared" si="0"/>
        <v>0</v>
      </c>
      <c r="C8" s="56">
        <f t="shared" si="1"/>
        <v>71.861928048828133</v>
      </c>
      <c r="D8" s="56">
        <f t="shared" si="2"/>
        <v>-5.0598788417066709</v>
      </c>
      <c r="E8" s="56">
        <f t="shared" si="3"/>
        <v>0</v>
      </c>
      <c r="F8" s="175">
        <f t="shared" si="4"/>
        <v>66.802049207121456</v>
      </c>
      <c r="I8" s="715"/>
      <c r="J8" s="56" t="s">
        <v>104</v>
      </c>
      <c r="K8" s="758">
        <v>0.3</v>
      </c>
      <c r="L8" s="719"/>
      <c r="M8" s="719"/>
      <c r="N8" s="720"/>
    </row>
    <row r="9" spans="1:14" x14ac:dyDescent="0.25">
      <c r="A9" s="54">
        <f t="shared" si="5"/>
        <v>10</v>
      </c>
      <c r="B9" s="55">
        <f t="shared" si="0"/>
        <v>0</v>
      </c>
      <c r="C9" s="56">
        <f t="shared" si="1"/>
        <v>69.861928048828133</v>
      </c>
      <c r="D9" s="56">
        <f t="shared" si="2"/>
        <v>-5.0598788417066709</v>
      </c>
      <c r="E9" s="56">
        <f t="shared" si="3"/>
        <v>0</v>
      </c>
      <c r="F9" s="175">
        <f t="shared" si="4"/>
        <v>64.802049207121456</v>
      </c>
      <c r="I9" s="715"/>
      <c r="J9" s="58" t="s">
        <v>105</v>
      </c>
      <c r="K9" s="729">
        <f>2/12</f>
        <v>0.16666666666666666</v>
      </c>
      <c r="L9" s="721"/>
      <c r="M9" s="721"/>
      <c r="N9" s="722"/>
    </row>
    <row r="10" spans="1:14" x14ac:dyDescent="0.25">
      <c r="A10" s="54">
        <f t="shared" si="5"/>
        <v>12</v>
      </c>
      <c r="B10" s="55">
        <f t="shared" si="0"/>
        <v>0</v>
      </c>
      <c r="C10" s="56">
        <f t="shared" si="1"/>
        <v>67.861928048828133</v>
      </c>
      <c r="D10" s="56">
        <f t="shared" si="2"/>
        <v>-5.0598788417066709</v>
      </c>
      <c r="E10" s="56">
        <f t="shared" si="3"/>
        <v>0</v>
      </c>
      <c r="F10" s="175">
        <f t="shared" si="4"/>
        <v>62.802049207121463</v>
      </c>
      <c r="I10" s="716"/>
      <c r="J10" s="59" t="s">
        <v>106</v>
      </c>
      <c r="K10" s="729" t="s">
        <v>122</v>
      </c>
      <c r="L10" s="721"/>
      <c r="M10" s="721"/>
      <c r="N10" s="722"/>
    </row>
    <row r="11" spans="1:14" x14ac:dyDescent="0.25">
      <c r="A11" s="54">
        <f t="shared" si="5"/>
        <v>14</v>
      </c>
      <c r="B11" s="55">
        <f t="shared" si="0"/>
        <v>0</v>
      </c>
      <c r="C11" s="56">
        <f t="shared" si="1"/>
        <v>65.861928048828133</v>
      </c>
      <c r="D11" s="56">
        <f t="shared" si="2"/>
        <v>-5.0598788417066709</v>
      </c>
      <c r="E11" s="56">
        <f t="shared" si="3"/>
        <v>0</v>
      </c>
      <c r="F11" s="175">
        <f t="shared" si="4"/>
        <v>60.802049207121463</v>
      </c>
      <c r="I11" s="41" t="s">
        <v>107</v>
      </c>
      <c r="J11" s="52" t="s">
        <v>108</v>
      </c>
      <c r="K11" s="47">
        <f>(LN($K$2/K5)+(($K$6-$K$7+(0.5*$K$8*$K$8))*$K$9))/($K$8*SQRT($K$9))</f>
        <v>4.2593275488192148</v>
      </c>
      <c r="L11" s="47">
        <f>(LN($K$2/L5)+(($K$6-$K$7+(0.5*$K$8*$K$8))*$K$9))/($K$8*SQRT($K$9))</f>
        <v>1.910413263308399</v>
      </c>
      <c r="M11" s="47">
        <f>(LN($K$2/M5)+(($K$6-$K$7+(0.5*$K$8*$K$8))*$K$9))/($K$8*SQRT($K$9))</f>
        <v>8.8453796267170329E-2</v>
      </c>
      <c r="N11" s="47">
        <f>(LN($K$2/N5)+(($K$6-$K$7+(0.5*$K$8*$K$8))*$K$9))/($K$8*SQRT($K$9))</f>
        <v>-1.4001954812496711</v>
      </c>
    </row>
    <row r="12" spans="1:14" x14ac:dyDescent="0.25">
      <c r="A12" s="54">
        <f t="shared" si="5"/>
        <v>16</v>
      </c>
      <c r="B12" s="55">
        <f t="shared" si="0"/>
        <v>0</v>
      </c>
      <c r="C12" s="56">
        <f t="shared" si="1"/>
        <v>63.86192804882814</v>
      </c>
      <c r="D12" s="56">
        <f t="shared" si="2"/>
        <v>-5.0598788417066709</v>
      </c>
      <c r="E12" s="56">
        <f t="shared" si="3"/>
        <v>0</v>
      </c>
      <c r="F12" s="175">
        <f t="shared" si="4"/>
        <v>58.80204920712147</v>
      </c>
      <c r="I12" s="49"/>
      <c r="J12" s="55" t="s">
        <v>109</v>
      </c>
      <c r="K12" s="60">
        <f>K11-($K$8*SQRT($K$9))</f>
        <v>4.1368530616800561</v>
      </c>
      <c r="L12" s="60">
        <f>L11-($K$8*SQRT($K$9))</f>
        <v>1.78793877616924</v>
      </c>
      <c r="M12" s="60">
        <f>M11-($K$8*SQRT($K$9))</f>
        <v>-3.4020690871988571E-2</v>
      </c>
      <c r="N12" s="60">
        <f>N11-($K$8*SQRT($K$9))</f>
        <v>-1.5226699683888301</v>
      </c>
    </row>
    <row r="13" spans="1:14" x14ac:dyDescent="0.25">
      <c r="A13" s="54">
        <f t="shared" si="5"/>
        <v>18</v>
      </c>
      <c r="B13" s="55">
        <f t="shared" si="0"/>
        <v>0</v>
      </c>
      <c r="C13" s="56">
        <f t="shared" si="1"/>
        <v>61.86192804882814</v>
      </c>
      <c r="D13" s="56">
        <f t="shared" si="2"/>
        <v>-5.0598788417066709</v>
      </c>
      <c r="E13" s="56">
        <f t="shared" si="3"/>
        <v>0</v>
      </c>
      <c r="F13" s="175">
        <f t="shared" si="4"/>
        <v>56.80204920712147</v>
      </c>
      <c r="I13" s="44"/>
      <c r="J13" s="61" t="s">
        <v>110</v>
      </c>
      <c r="K13" s="62">
        <f>IF(K3="C",($K$2*EXP(-$K$7*$K$9)*NORMSDIST(K11))-(K5*EXP(-$K$6*$K$9)*NORMSDIST(K12)),(-$K$2*EXP(-$K$7*$K$9)*NORMSDIST(-K11))-(-K5*EXP(-$K$6*$K$9)*NORMSDIST(-K12)))</f>
        <v>2.7575008933031784E-5</v>
      </c>
      <c r="L13" s="62">
        <f>IF(L3="C",($K$2*EXP(-$K$7*$K$9)*NORMSDIST(L11))-(L5*EXP(-$K$6*$K$9)*NORMSDIST(L12)),(-$K$2*EXP(-$K$7*$K$9)*NORMSDIST(-L11))-(-L5*EXP(-$K$6*$K$9)*NORMSDIST(-L12)))</f>
        <v>0.13761247754943184</v>
      </c>
      <c r="M13" s="62">
        <f>IF(M3="C",($K$2*EXP(-$K$7*$K$9)*NORMSDIST(M11))-(M5*EXP(-$K$6*$K$9)*NORMSDIST(M12)),(-$K$2*EXP(-$K$7*$K$9)*NORMSDIST(-M11))-(-M5*EXP(-$K$6*$K$9)*NORMSDIST(-M12)))</f>
        <v>5.0430406581311829</v>
      </c>
      <c r="N13" s="62">
        <f>IF(N3="C",($K$2*EXP(-$K$7*$K$9)*NORMSDIST(N11))-(N5*EXP(-$K$6*$K$9)*NORMSDIST(N12)),(-$K$2*EXP(-$K$7*$K$9)*NORMSDIST(-N11))-(-N5*EXP(-$K$6*$K$9)*NORMSDIST(-N12)))</f>
        <v>0.42778742295030714</v>
      </c>
    </row>
    <row r="14" spans="1:14" x14ac:dyDescent="0.25">
      <c r="A14" s="54">
        <f t="shared" si="5"/>
        <v>20</v>
      </c>
      <c r="B14" s="55">
        <f t="shared" si="0"/>
        <v>0</v>
      </c>
      <c r="C14" s="56">
        <f t="shared" si="1"/>
        <v>59.86192804882814</v>
      </c>
      <c r="D14" s="56">
        <f t="shared" si="2"/>
        <v>-5.0598788417066709</v>
      </c>
      <c r="E14" s="56">
        <f t="shared" si="3"/>
        <v>0</v>
      </c>
      <c r="F14" s="175">
        <f t="shared" si="4"/>
        <v>54.80204920712147</v>
      </c>
      <c r="K14" s="96"/>
    </row>
    <row r="15" spans="1:14" x14ac:dyDescent="0.25">
      <c r="A15" s="54">
        <f t="shared" si="5"/>
        <v>22</v>
      </c>
      <c r="B15" s="55">
        <f t="shared" si="0"/>
        <v>0</v>
      </c>
      <c r="C15" s="56">
        <f t="shared" si="1"/>
        <v>57.86192804882814</v>
      </c>
      <c r="D15" s="56">
        <f t="shared" si="2"/>
        <v>-5.0598788417066709</v>
      </c>
      <c r="E15" s="56">
        <f t="shared" si="3"/>
        <v>0</v>
      </c>
      <c r="F15" s="175">
        <f t="shared" si="4"/>
        <v>52.80204920712147</v>
      </c>
    </row>
    <row r="16" spans="1:14" x14ac:dyDescent="0.25">
      <c r="A16" s="54">
        <f t="shared" si="5"/>
        <v>24</v>
      </c>
      <c r="B16" s="55">
        <f t="shared" si="0"/>
        <v>0</v>
      </c>
      <c r="C16" s="56">
        <f t="shared" si="1"/>
        <v>55.86192804882814</v>
      </c>
      <c r="D16" s="56">
        <f t="shared" si="2"/>
        <v>-5.0598788417066709</v>
      </c>
      <c r="E16" s="56">
        <f t="shared" si="3"/>
        <v>0</v>
      </c>
      <c r="F16" s="175">
        <f t="shared" si="4"/>
        <v>50.80204920712147</v>
      </c>
    </row>
    <row r="17" spans="1:9" x14ac:dyDescent="0.25">
      <c r="A17" s="54">
        <f t="shared" si="5"/>
        <v>26</v>
      </c>
      <c r="B17" s="55">
        <f t="shared" si="0"/>
        <v>0</v>
      </c>
      <c r="C17" s="56">
        <f t="shared" si="1"/>
        <v>53.86192804882814</v>
      </c>
      <c r="D17" s="56">
        <f t="shared" si="2"/>
        <v>-5.0598788417066709</v>
      </c>
      <c r="E17" s="56">
        <f t="shared" si="3"/>
        <v>0</v>
      </c>
      <c r="F17" s="175">
        <f t="shared" si="4"/>
        <v>48.80204920712147</v>
      </c>
    </row>
    <row r="18" spans="1:9" x14ac:dyDescent="0.25">
      <c r="A18" s="54">
        <f t="shared" si="5"/>
        <v>28</v>
      </c>
      <c r="B18" s="55">
        <f t="shared" si="0"/>
        <v>0</v>
      </c>
      <c r="C18" s="56">
        <f t="shared" si="1"/>
        <v>51.86192804882814</v>
      </c>
      <c r="D18" s="56">
        <f t="shared" si="2"/>
        <v>-5.0598788417066709</v>
      </c>
      <c r="E18" s="56">
        <f t="shared" si="3"/>
        <v>0</v>
      </c>
      <c r="F18" s="175">
        <f t="shared" si="4"/>
        <v>46.80204920712147</v>
      </c>
    </row>
    <row r="19" spans="1:9" x14ac:dyDescent="0.25">
      <c r="A19" s="54">
        <f t="shared" si="5"/>
        <v>30</v>
      </c>
      <c r="B19" s="55">
        <f t="shared" si="0"/>
        <v>0</v>
      </c>
      <c r="C19" s="56">
        <f t="shared" si="1"/>
        <v>49.86192804882814</v>
      </c>
      <c r="D19" s="56">
        <f t="shared" si="2"/>
        <v>-5.0598788417066709</v>
      </c>
      <c r="E19" s="56">
        <f t="shared" si="3"/>
        <v>0</v>
      </c>
      <c r="F19" s="175">
        <f t="shared" si="4"/>
        <v>44.80204920712147</v>
      </c>
    </row>
    <row r="20" spans="1:9" x14ac:dyDescent="0.25">
      <c r="A20" s="54">
        <f t="shared" si="5"/>
        <v>32</v>
      </c>
      <c r="B20" s="55">
        <f t="shared" si="0"/>
        <v>0</v>
      </c>
      <c r="C20" s="56">
        <f t="shared" si="1"/>
        <v>47.86192804882814</v>
      </c>
      <c r="D20" s="56">
        <f t="shared" si="2"/>
        <v>-5.0598788417066709</v>
      </c>
      <c r="E20" s="56">
        <f t="shared" si="3"/>
        <v>0</v>
      </c>
      <c r="F20" s="175">
        <f t="shared" si="4"/>
        <v>42.80204920712147</v>
      </c>
    </row>
    <row r="21" spans="1:9" x14ac:dyDescent="0.25">
      <c r="A21" s="54">
        <f t="shared" si="5"/>
        <v>34</v>
      </c>
      <c r="B21" s="55">
        <f t="shared" si="0"/>
        <v>0</v>
      </c>
      <c r="C21" s="56">
        <f t="shared" si="1"/>
        <v>45.86192804882814</v>
      </c>
      <c r="D21" s="56">
        <f t="shared" si="2"/>
        <v>-5.0598788417066709</v>
      </c>
      <c r="E21" s="56">
        <f t="shared" si="3"/>
        <v>0</v>
      </c>
      <c r="F21" s="175">
        <f t="shared" si="4"/>
        <v>40.80204920712147</v>
      </c>
    </row>
    <row r="22" spans="1:9" x14ac:dyDescent="0.25">
      <c r="A22" s="54">
        <f t="shared" si="5"/>
        <v>36</v>
      </c>
      <c r="B22" s="55">
        <f t="shared" si="0"/>
        <v>0</v>
      </c>
      <c r="C22" s="56">
        <f t="shared" si="1"/>
        <v>43.86192804882814</v>
      </c>
      <c r="D22" s="56">
        <f t="shared" si="2"/>
        <v>-5.0598788417066709</v>
      </c>
      <c r="E22" s="56">
        <f t="shared" si="3"/>
        <v>0</v>
      </c>
      <c r="F22" s="175">
        <f t="shared" si="4"/>
        <v>38.80204920712147</v>
      </c>
    </row>
    <row r="23" spans="1:9" x14ac:dyDescent="0.25">
      <c r="A23" s="54">
        <f t="shared" si="5"/>
        <v>38</v>
      </c>
      <c r="B23" s="55">
        <f t="shared" si="0"/>
        <v>0</v>
      </c>
      <c r="C23" s="56">
        <f t="shared" si="1"/>
        <v>41.86192804882814</v>
      </c>
      <c r="D23" s="56">
        <f t="shared" si="2"/>
        <v>-5.0598788417066709</v>
      </c>
      <c r="E23" s="56">
        <f t="shared" si="3"/>
        <v>0</v>
      </c>
      <c r="F23" s="175">
        <f t="shared" si="4"/>
        <v>36.80204920712147</v>
      </c>
    </row>
    <row r="24" spans="1:9" x14ac:dyDescent="0.25">
      <c r="A24" s="54">
        <f t="shared" si="5"/>
        <v>40</v>
      </c>
      <c r="B24" s="55">
        <f t="shared" si="0"/>
        <v>0</v>
      </c>
      <c r="C24" s="56">
        <f t="shared" si="1"/>
        <v>39.86192804882814</v>
      </c>
      <c r="D24" s="56">
        <f t="shared" si="2"/>
        <v>-5.0598788417066709</v>
      </c>
      <c r="E24" s="56">
        <f t="shared" si="3"/>
        <v>0</v>
      </c>
      <c r="F24" s="175">
        <f t="shared" si="4"/>
        <v>34.80204920712147</v>
      </c>
    </row>
    <row r="25" spans="1:9" x14ac:dyDescent="0.25">
      <c r="A25" s="54">
        <f t="shared" si="5"/>
        <v>42</v>
      </c>
      <c r="B25" s="55">
        <f t="shared" si="0"/>
        <v>0</v>
      </c>
      <c r="C25" s="56">
        <f t="shared" si="1"/>
        <v>37.86192804882814</v>
      </c>
      <c r="D25" s="56">
        <f t="shared" si="2"/>
        <v>-5.0598788417066709</v>
      </c>
      <c r="E25" s="56">
        <f t="shared" si="3"/>
        <v>0</v>
      </c>
      <c r="F25" s="175">
        <f t="shared" si="4"/>
        <v>32.80204920712147</v>
      </c>
      <c r="I25" s="63"/>
    </row>
    <row r="26" spans="1:9" x14ac:dyDescent="0.25">
      <c r="A26" s="54">
        <f t="shared" si="5"/>
        <v>44</v>
      </c>
      <c r="B26" s="55">
        <f t="shared" si="0"/>
        <v>0</v>
      </c>
      <c r="C26" s="56">
        <f t="shared" si="1"/>
        <v>35.86192804882814</v>
      </c>
      <c r="D26" s="56">
        <f t="shared" si="2"/>
        <v>-5.0598788417066709</v>
      </c>
      <c r="E26" s="56">
        <f t="shared" si="3"/>
        <v>0</v>
      </c>
      <c r="F26" s="175">
        <f t="shared" si="4"/>
        <v>30.80204920712147</v>
      </c>
    </row>
    <row r="27" spans="1:9" x14ac:dyDescent="0.25">
      <c r="A27" s="54">
        <f t="shared" si="5"/>
        <v>46</v>
      </c>
      <c r="B27" s="55">
        <f t="shared" si="0"/>
        <v>0</v>
      </c>
      <c r="C27" s="56">
        <f t="shared" si="1"/>
        <v>33.86192804882814</v>
      </c>
      <c r="D27" s="56">
        <f t="shared" si="2"/>
        <v>-5.0598788417066709</v>
      </c>
      <c r="E27" s="56">
        <f t="shared" si="3"/>
        <v>0</v>
      </c>
      <c r="F27" s="175">
        <f t="shared" si="4"/>
        <v>28.80204920712147</v>
      </c>
    </row>
    <row r="28" spans="1:9" x14ac:dyDescent="0.25">
      <c r="A28" s="54">
        <f t="shared" si="5"/>
        <v>48</v>
      </c>
      <c r="B28" s="55">
        <f t="shared" si="0"/>
        <v>0</v>
      </c>
      <c r="C28" s="56">
        <f t="shared" si="1"/>
        <v>31.861928048828137</v>
      </c>
      <c r="D28" s="56">
        <f t="shared" si="2"/>
        <v>-5.0598788417066709</v>
      </c>
      <c r="E28" s="56">
        <f t="shared" si="3"/>
        <v>0</v>
      </c>
      <c r="F28" s="175">
        <f t="shared" si="4"/>
        <v>26.802049207121467</v>
      </c>
    </row>
    <row r="29" spans="1:9" x14ac:dyDescent="0.25">
      <c r="A29" s="54">
        <f t="shared" si="5"/>
        <v>50</v>
      </c>
      <c r="B29" s="55">
        <f t="shared" si="0"/>
        <v>0</v>
      </c>
      <c r="C29" s="56">
        <f t="shared" si="1"/>
        <v>29.861928048828137</v>
      </c>
      <c r="D29" s="56">
        <f t="shared" si="2"/>
        <v>-5.0598788417066709</v>
      </c>
      <c r="E29" s="56">
        <f t="shared" si="3"/>
        <v>0</v>
      </c>
      <c r="F29" s="175">
        <f t="shared" si="4"/>
        <v>24.802049207121467</v>
      </c>
    </row>
    <row r="30" spans="1:9" x14ac:dyDescent="0.25">
      <c r="A30" s="54">
        <f t="shared" si="5"/>
        <v>52</v>
      </c>
      <c r="B30" s="55">
        <f t="shared" si="0"/>
        <v>0</v>
      </c>
      <c r="C30" s="56">
        <f t="shared" si="1"/>
        <v>27.861928048828137</v>
      </c>
      <c r="D30" s="56">
        <f t="shared" si="2"/>
        <v>-5.0598788417066709</v>
      </c>
      <c r="E30" s="56">
        <f t="shared" si="3"/>
        <v>0</v>
      </c>
      <c r="F30" s="175">
        <f t="shared" si="4"/>
        <v>22.802049207121467</v>
      </c>
    </row>
    <row r="31" spans="1:9" x14ac:dyDescent="0.25">
      <c r="A31" s="54">
        <f t="shared" si="5"/>
        <v>54</v>
      </c>
      <c r="B31" s="55">
        <f t="shared" si="0"/>
        <v>0</v>
      </c>
      <c r="C31" s="56">
        <f t="shared" si="1"/>
        <v>25.861928048828137</v>
      </c>
      <c r="D31" s="56">
        <f t="shared" si="2"/>
        <v>-5.0598788417066709</v>
      </c>
      <c r="E31" s="56">
        <f t="shared" si="3"/>
        <v>0</v>
      </c>
      <c r="F31" s="175">
        <f t="shared" si="4"/>
        <v>20.802049207121467</v>
      </c>
    </row>
    <row r="32" spans="1:9" x14ac:dyDescent="0.25">
      <c r="A32" s="54">
        <f t="shared" si="5"/>
        <v>56</v>
      </c>
      <c r="B32" s="55">
        <f t="shared" si="0"/>
        <v>0</v>
      </c>
      <c r="C32" s="56">
        <f t="shared" si="1"/>
        <v>23.861928048828137</v>
      </c>
      <c r="D32" s="56">
        <f t="shared" si="2"/>
        <v>-5.0598788417066709</v>
      </c>
      <c r="E32" s="56">
        <f t="shared" si="3"/>
        <v>0</v>
      </c>
      <c r="F32" s="175">
        <f t="shared" si="4"/>
        <v>18.802049207121467</v>
      </c>
    </row>
    <row r="33" spans="1:6" x14ac:dyDescent="0.25">
      <c r="A33" s="54">
        <f t="shared" si="5"/>
        <v>58</v>
      </c>
      <c r="B33" s="55">
        <f t="shared" si="0"/>
        <v>0</v>
      </c>
      <c r="C33" s="56">
        <f t="shared" si="1"/>
        <v>21.861928048828137</v>
      </c>
      <c r="D33" s="56">
        <f t="shared" si="2"/>
        <v>-5.0598788417066709</v>
      </c>
      <c r="E33" s="56">
        <f t="shared" si="3"/>
        <v>0</v>
      </c>
      <c r="F33" s="175">
        <f t="shared" si="4"/>
        <v>16.802049207121467</v>
      </c>
    </row>
    <row r="34" spans="1:6" x14ac:dyDescent="0.25">
      <c r="A34" s="54">
        <f t="shared" si="5"/>
        <v>60</v>
      </c>
      <c r="B34" s="55">
        <f t="shared" si="0"/>
        <v>0</v>
      </c>
      <c r="C34" s="56">
        <f t="shared" si="1"/>
        <v>19.861928048828137</v>
      </c>
      <c r="D34" s="56">
        <f t="shared" si="2"/>
        <v>-5.0598788417066709</v>
      </c>
      <c r="E34" s="56">
        <f t="shared" si="3"/>
        <v>0</v>
      </c>
      <c r="F34" s="175">
        <f t="shared" si="4"/>
        <v>14.802049207121467</v>
      </c>
    </row>
    <row r="35" spans="1:6" x14ac:dyDescent="0.25">
      <c r="A35" s="54">
        <f t="shared" si="5"/>
        <v>62</v>
      </c>
      <c r="B35" s="55">
        <f t="shared" si="0"/>
        <v>0</v>
      </c>
      <c r="C35" s="56">
        <f t="shared" si="1"/>
        <v>17.861928048828137</v>
      </c>
      <c r="D35" s="56">
        <f t="shared" si="2"/>
        <v>-5.0598788417066709</v>
      </c>
      <c r="E35" s="56">
        <f t="shared" si="3"/>
        <v>0</v>
      </c>
      <c r="F35" s="175">
        <f t="shared" si="4"/>
        <v>12.802049207121467</v>
      </c>
    </row>
    <row r="36" spans="1:6" x14ac:dyDescent="0.25">
      <c r="A36" s="54">
        <f t="shared" si="5"/>
        <v>64</v>
      </c>
      <c r="B36" s="55">
        <f t="shared" ref="B36:B67" si="6">(MAX(IF($B$1="C",1,-1)*(A36-$K$5),0)-IF($K$10="Y",$K$13*EXP($K$6*$K$9),0))*$K$4</f>
        <v>0</v>
      </c>
      <c r="C36" s="56">
        <f t="shared" ref="C36:C67" si="7">(MAX(IF($C$1="C",1,-1)*(A36-$L$5),0)-IF($K$10="Y",$L$13*EXP($K$6*$K$9),0))*$L$4</f>
        <v>15.861928048828139</v>
      </c>
      <c r="D36" s="56">
        <f t="shared" ref="D36:D67" si="8">(MAX(IF($D$1="C",1,-1)*(A36-$M$5),0)-IF($K$10="Y",$M$13*EXP($K$6*$K$9),0))*$M$4</f>
        <v>-5.0598788417066709</v>
      </c>
      <c r="E36" s="56">
        <f t="shared" ref="E36:E67" si="9">(MAX(IF($E$1="C",1,-1)*(A36-$N$5),0)-IF($K$10="Y",$N$13*EXP($K$6*$K$9),0))*$N$4</f>
        <v>0</v>
      </c>
      <c r="F36" s="175">
        <f t="shared" ref="F36:F67" si="10">SUM(B36:E36)</f>
        <v>10.802049207121467</v>
      </c>
    </row>
    <row r="37" spans="1:6" x14ac:dyDescent="0.25">
      <c r="A37" s="54">
        <f t="shared" ref="A37:A68" si="11">A36+2</f>
        <v>66</v>
      </c>
      <c r="B37" s="55">
        <f t="shared" si="6"/>
        <v>0</v>
      </c>
      <c r="C37" s="56">
        <f t="shared" si="7"/>
        <v>13.861928048828139</v>
      </c>
      <c r="D37" s="56">
        <f t="shared" si="8"/>
        <v>-5.0598788417066709</v>
      </c>
      <c r="E37" s="56">
        <f t="shared" si="9"/>
        <v>0</v>
      </c>
      <c r="F37" s="175">
        <f t="shared" si="10"/>
        <v>8.8020492071214669</v>
      </c>
    </row>
    <row r="38" spans="1:6" x14ac:dyDescent="0.25">
      <c r="A38" s="54">
        <f t="shared" si="11"/>
        <v>68</v>
      </c>
      <c r="B38" s="55">
        <f t="shared" si="6"/>
        <v>0</v>
      </c>
      <c r="C38" s="56">
        <f t="shared" si="7"/>
        <v>11.861928048828139</v>
      </c>
      <c r="D38" s="56">
        <f t="shared" si="8"/>
        <v>-5.0598788417066709</v>
      </c>
      <c r="E38" s="56">
        <f t="shared" si="9"/>
        <v>0</v>
      </c>
      <c r="F38" s="175">
        <f t="shared" si="10"/>
        <v>6.8020492071214678</v>
      </c>
    </row>
    <row r="39" spans="1:6" x14ac:dyDescent="0.25">
      <c r="A39" s="54">
        <f t="shared" si="11"/>
        <v>70</v>
      </c>
      <c r="B39" s="55">
        <f t="shared" si="6"/>
        <v>0</v>
      </c>
      <c r="C39" s="56">
        <f t="shared" si="7"/>
        <v>9.8619280488281387</v>
      </c>
      <c r="D39" s="56">
        <f t="shared" si="8"/>
        <v>-5.0598788417066709</v>
      </c>
      <c r="E39" s="56">
        <f t="shared" si="9"/>
        <v>0</v>
      </c>
      <c r="F39" s="175">
        <f t="shared" si="10"/>
        <v>4.8020492071214678</v>
      </c>
    </row>
    <row r="40" spans="1:6" x14ac:dyDescent="0.25">
      <c r="A40" s="54">
        <f t="shared" si="11"/>
        <v>72</v>
      </c>
      <c r="B40" s="55">
        <f t="shared" si="6"/>
        <v>0</v>
      </c>
      <c r="C40" s="56">
        <f t="shared" si="7"/>
        <v>7.8619280488281378</v>
      </c>
      <c r="D40" s="56">
        <f t="shared" si="8"/>
        <v>-5.0598788417066709</v>
      </c>
      <c r="E40" s="56">
        <f t="shared" si="9"/>
        <v>0</v>
      </c>
      <c r="F40" s="175">
        <f t="shared" si="10"/>
        <v>2.8020492071214669</v>
      </c>
    </row>
    <row r="41" spans="1:6" x14ac:dyDescent="0.25">
      <c r="A41" s="54">
        <f t="shared" si="11"/>
        <v>74</v>
      </c>
      <c r="B41" s="55">
        <f t="shared" si="6"/>
        <v>0</v>
      </c>
      <c r="C41" s="56">
        <f t="shared" si="7"/>
        <v>5.8619280488281378</v>
      </c>
      <c r="D41" s="56">
        <f t="shared" si="8"/>
        <v>-5.0598788417066709</v>
      </c>
      <c r="E41" s="56">
        <f t="shared" si="9"/>
        <v>0</v>
      </c>
      <c r="F41" s="175">
        <f t="shared" si="10"/>
        <v>0.80204920712146688</v>
      </c>
    </row>
    <row r="42" spans="1:6" x14ac:dyDescent="0.25">
      <c r="A42" s="54">
        <f t="shared" si="11"/>
        <v>76</v>
      </c>
      <c r="B42" s="55">
        <f t="shared" si="6"/>
        <v>0</v>
      </c>
      <c r="C42" s="56">
        <f t="shared" si="7"/>
        <v>3.8619280488281378</v>
      </c>
      <c r="D42" s="56">
        <f t="shared" si="8"/>
        <v>-5.0598788417066709</v>
      </c>
      <c r="E42" s="56">
        <f t="shared" si="9"/>
        <v>0</v>
      </c>
      <c r="F42" s="175">
        <f t="shared" si="10"/>
        <v>-1.1979507928785331</v>
      </c>
    </row>
    <row r="43" spans="1:6" x14ac:dyDescent="0.25">
      <c r="A43" s="54">
        <f t="shared" si="11"/>
        <v>78</v>
      </c>
      <c r="B43" s="55">
        <f t="shared" si="6"/>
        <v>0</v>
      </c>
      <c r="C43" s="56">
        <f t="shared" si="7"/>
        <v>1.8619280488281378</v>
      </c>
      <c r="D43" s="56">
        <f t="shared" si="8"/>
        <v>-5.0598788417066709</v>
      </c>
      <c r="E43" s="56">
        <f t="shared" si="9"/>
        <v>0</v>
      </c>
      <c r="F43" s="175">
        <f t="shared" si="10"/>
        <v>-3.1979507928785331</v>
      </c>
    </row>
    <row r="44" spans="1:6" x14ac:dyDescent="0.25">
      <c r="A44" s="54">
        <f t="shared" si="11"/>
        <v>80</v>
      </c>
      <c r="B44" s="55">
        <f t="shared" si="6"/>
        <v>0</v>
      </c>
      <c r="C44" s="56">
        <f t="shared" si="7"/>
        <v>-0.13807195117186219</v>
      </c>
      <c r="D44" s="56">
        <f t="shared" si="8"/>
        <v>-5.0598788417066709</v>
      </c>
      <c r="E44" s="56">
        <f t="shared" si="9"/>
        <v>0</v>
      </c>
      <c r="F44" s="175">
        <f t="shared" si="10"/>
        <v>-5.1979507928785331</v>
      </c>
    </row>
    <row r="45" spans="1:6" x14ac:dyDescent="0.25">
      <c r="A45" s="54">
        <f t="shared" si="11"/>
        <v>82</v>
      </c>
      <c r="B45" s="55">
        <f t="shared" si="6"/>
        <v>0</v>
      </c>
      <c r="C45" s="56">
        <f t="shared" si="7"/>
        <v>-0.13807195117186219</v>
      </c>
      <c r="D45" s="56">
        <f t="shared" si="8"/>
        <v>-5.0598788417066709</v>
      </c>
      <c r="E45" s="56">
        <f t="shared" si="9"/>
        <v>0</v>
      </c>
      <c r="F45" s="175">
        <f t="shared" si="10"/>
        <v>-5.1979507928785331</v>
      </c>
    </row>
    <row r="46" spans="1:6" x14ac:dyDescent="0.25">
      <c r="A46" s="54">
        <f t="shared" si="11"/>
        <v>84</v>
      </c>
      <c r="B46" s="55">
        <f t="shared" si="6"/>
        <v>0</v>
      </c>
      <c r="C46" s="56">
        <f t="shared" si="7"/>
        <v>-0.13807195117186219</v>
      </c>
      <c r="D46" s="56">
        <f t="shared" si="8"/>
        <v>-5.0598788417066709</v>
      </c>
      <c r="E46" s="56">
        <f t="shared" si="9"/>
        <v>0</v>
      </c>
      <c r="F46" s="175">
        <f t="shared" si="10"/>
        <v>-5.1979507928785331</v>
      </c>
    </row>
    <row r="47" spans="1:6" x14ac:dyDescent="0.25">
      <c r="A47" s="54">
        <f t="shared" si="11"/>
        <v>86</v>
      </c>
      <c r="B47" s="55">
        <f t="shared" si="6"/>
        <v>0</v>
      </c>
      <c r="C47" s="56">
        <f t="shared" si="7"/>
        <v>-0.13807195117186219</v>
      </c>
      <c r="D47" s="56">
        <f t="shared" si="8"/>
        <v>-5.0598788417066709</v>
      </c>
      <c r="E47" s="56">
        <f t="shared" si="9"/>
        <v>0</v>
      </c>
      <c r="F47" s="175">
        <f t="shared" si="10"/>
        <v>-5.1979507928785331</v>
      </c>
    </row>
    <row r="48" spans="1:6" x14ac:dyDescent="0.25">
      <c r="A48" s="54">
        <f t="shared" si="11"/>
        <v>88</v>
      </c>
      <c r="B48" s="55">
        <f t="shared" si="6"/>
        <v>0</v>
      </c>
      <c r="C48" s="56">
        <f t="shared" si="7"/>
        <v>-0.13807195117186219</v>
      </c>
      <c r="D48" s="56">
        <f t="shared" si="8"/>
        <v>-5.0598788417066709</v>
      </c>
      <c r="E48" s="56">
        <f t="shared" si="9"/>
        <v>0</v>
      </c>
      <c r="F48" s="175">
        <f t="shared" si="10"/>
        <v>-5.1979507928785331</v>
      </c>
    </row>
    <row r="49" spans="1:6" x14ac:dyDescent="0.25">
      <c r="A49" s="54">
        <f t="shared" si="11"/>
        <v>90</v>
      </c>
      <c r="B49" s="55">
        <f t="shared" si="6"/>
        <v>0</v>
      </c>
      <c r="C49" s="56">
        <f t="shared" si="7"/>
        <v>-0.13807195117186219</v>
      </c>
      <c r="D49" s="56">
        <f t="shared" si="8"/>
        <v>-5.0598788417066709</v>
      </c>
      <c r="E49" s="56">
        <f t="shared" si="9"/>
        <v>0</v>
      </c>
      <c r="F49" s="175">
        <f t="shared" si="10"/>
        <v>-5.1979507928785331</v>
      </c>
    </row>
    <row r="50" spans="1:6" x14ac:dyDescent="0.25">
      <c r="A50" s="54">
        <f t="shared" si="11"/>
        <v>92</v>
      </c>
      <c r="B50" s="55">
        <f t="shared" si="6"/>
        <v>0</v>
      </c>
      <c r="C50" s="56">
        <f t="shared" si="7"/>
        <v>-0.13807195117186219</v>
      </c>
      <c r="D50" s="56">
        <f t="shared" si="8"/>
        <v>-5.0598788417066709</v>
      </c>
      <c r="E50" s="56">
        <f t="shared" si="9"/>
        <v>0</v>
      </c>
      <c r="F50" s="175">
        <f t="shared" si="10"/>
        <v>-5.1979507928785331</v>
      </c>
    </row>
    <row r="51" spans="1:6" x14ac:dyDescent="0.25">
      <c r="A51" s="54">
        <f t="shared" si="11"/>
        <v>94</v>
      </c>
      <c r="B51" s="55">
        <f t="shared" si="6"/>
        <v>0</v>
      </c>
      <c r="C51" s="56">
        <f t="shared" si="7"/>
        <v>-0.13807195117186219</v>
      </c>
      <c r="D51" s="56">
        <f t="shared" si="8"/>
        <v>-5.0598788417066709</v>
      </c>
      <c r="E51" s="56">
        <f t="shared" si="9"/>
        <v>0</v>
      </c>
      <c r="F51" s="175">
        <f t="shared" si="10"/>
        <v>-5.1979507928785331</v>
      </c>
    </row>
    <row r="52" spans="1:6" x14ac:dyDescent="0.25">
      <c r="A52" s="54">
        <f t="shared" si="11"/>
        <v>96</v>
      </c>
      <c r="B52" s="55">
        <f t="shared" si="6"/>
        <v>0</v>
      </c>
      <c r="C52" s="56">
        <f t="shared" si="7"/>
        <v>-0.13807195117186219</v>
      </c>
      <c r="D52" s="56">
        <f t="shared" si="8"/>
        <v>-5.0598788417066709</v>
      </c>
      <c r="E52" s="56">
        <f t="shared" si="9"/>
        <v>0</v>
      </c>
      <c r="F52" s="175">
        <f t="shared" si="10"/>
        <v>-5.1979507928785331</v>
      </c>
    </row>
    <row r="53" spans="1:6" x14ac:dyDescent="0.25">
      <c r="A53" s="54">
        <f t="shared" si="11"/>
        <v>98</v>
      </c>
      <c r="B53" s="55">
        <f t="shared" si="6"/>
        <v>0</v>
      </c>
      <c r="C53" s="56">
        <f t="shared" si="7"/>
        <v>-0.13807195117186219</v>
      </c>
      <c r="D53" s="56">
        <f t="shared" si="8"/>
        <v>-5.0598788417066709</v>
      </c>
      <c r="E53" s="56">
        <f t="shared" si="9"/>
        <v>0</v>
      </c>
      <c r="F53" s="175">
        <f t="shared" si="10"/>
        <v>-5.1979507928785331</v>
      </c>
    </row>
    <row r="54" spans="1:6" x14ac:dyDescent="0.25">
      <c r="A54" s="54">
        <f t="shared" si="11"/>
        <v>100</v>
      </c>
      <c r="B54" s="55">
        <f t="shared" si="6"/>
        <v>0</v>
      </c>
      <c r="C54" s="56">
        <f t="shared" si="7"/>
        <v>-0.13807195117186219</v>
      </c>
      <c r="D54" s="56">
        <f t="shared" si="8"/>
        <v>-5.0598788417066709</v>
      </c>
      <c r="E54" s="56">
        <f t="shared" si="9"/>
        <v>0</v>
      </c>
      <c r="F54" s="175">
        <f t="shared" si="10"/>
        <v>-5.1979507928785331</v>
      </c>
    </row>
    <row r="55" spans="1:6" x14ac:dyDescent="0.25">
      <c r="A55" s="54">
        <f t="shared" si="11"/>
        <v>102</v>
      </c>
      <c r="B55" s="55">
        <f t="shared" si="6"/>
        <v>0</v>
      </c>
      <c r="C55" s="56">
        <f t="shared" si="7"/>
        <v>-0.13807195117186219</v>
      </c>
      <c r="D55" s="56">
        <f t="shared" si="8"/>
        <v>-3.0598788417066709</v>
      </c>
      <c r="E55" s="56">
        <f t="shared" si="9"/>
        <v>0</v>
      </c>
      <c r="F55" s="175">
        <f t="shared" si="10"/>
        <v>-3.1979507928785331</v>
      </c>
    </row>
    <row r="56" spans="1:6" x14ac:dyDescent="0.25">
      <c r="A56" s="54">
        <f t="shared" si="11"/>
        <v>104</v>
      </c>
      <c r="B56" s="55">
        <f t="shared" si="6"/>
        <v>0</v>
      </c>
      <c r="C56" s="56">
        <f t="shared" si="7"/>
        <v>-0.13807195117186219</v>
      </c>
      <c r="D56" s="56">
        <f t="shared" si="8"/>
        <v>-1.0598788417066709</v>
      </c>
      <c r="E56" s="56">
        <f t="shared" si="9"/>
        <v>0</v>
      </c>
      <c r="F56" s="175">
        <f t="shared" si="10"/>
        <v>-1.1979507928785331</v>
      </c>
    </row>
    <row r="57" spans="1:6" x14ac:dyDescent="0.25">
      <c r="A57" s="54">
        <f t="shared" si="11"/>
        <v>106</v>
      </c>
      <c r="B57" s="55">
        <f t="shared" si="6"/>
        <v>0</v>
      </c>
      <c r="C57" s="56">
        <f t="shared" si="7"/>
        <v>-0.13807195117186219</v>
      </c>
      <c r="D57" s="56">
        <f t="shared" si="8"/>
        <v>0.9401211582933291</v>
      </c>
      <c r="E57" s="56">
        <f t="shared" si="9"/>
        <v>0</v>
      </c>
      <c r="F57" s="175">
        <f t="shared" si="10"/>
        <v>0.80204920712146688</v>
      </c>
    </row>
    <row r="58" spans="1:6" x14ac:dyDescent="0.25">
      <c r="A58" s="54">
        <f t="shared" si="11"/>
        <v>108</v>
      </c>
      <c r="B58" s="55">
        <f t="shared" si="6"/>
        <v>0</v>
      </c>
      <c r="C58" s="56">
        <f t="shared" si="7"/>
        <v>-0.13807195117186219</v>
      </c>
      <c r="D58" s="56">
        <f t="shared" si="8"/>
        <v>2.9401211582933291</v>
      </c>
      <c r="E58" s="56">
        <f t="shared" si="9"/>
        <v>0</v>
      </c>
      <c r="F58" s="175">
        <f t="shared" si="10"/>
        <v>2.8020492071214669</v>
      </c>
    </row>
    <row r="59" spans="1:6" x14ac:dyDescent="0.25">
      <c r="A59" s="54">
        <f t="shared" si="11"/>
        <v>110</v>
      </c>
      <c r="B59" s="55">
        <f t="shared" si="6"/>
        <v>0</v>
      </c>
      <c r="C59" s="56">
        <f t="shared" si="7"/>
        <v>-0.13807195117186219</v>
      </c>
      <c r="D59" s="56">
        <f t="shared" si="8"/>
        <v>4.9401211582933291</v>
      </c>
      <c r="E59" s="56">
        <f t="shared" si="9"/>
        <v>0</v>
      </c>
      <c r="F59" s="175">
        <f t="shared" si="10"/>
        <v>4.8020492071214669</v>
      </c>
    </row>
    <row r="60" spans="1:6" x14ac:dyDescent="0.25">
      <c r="A60" s="54">
        <f t="shared" si="11"/>
        <v>112</v>
      </c>
      <c r="B60" s="55">
        <f t="shared" si="6"/>
        <v>0</v>
      </c>
      <c r="C60" s="56">
        <f t="shared" si="7"/>
        <v>-0.13807195117186219</v>
      </c>
      <c r="D60" s="56">
        <f t="shared" si="8"/>
        <v>6.9401211582933291</v>
      </c>
      <c r="E60" s="56">
        <f t="shared" si="9"/>
        <v>0</v>
      </c>
      <c r="F60" s="175">
        <f t="shared" si="10"/>
        <v>6.8020492071214669</v>
      </c>
    </row>
    <row r="61" spans="1:6" x14ac:dyDescent="0.25">
      <c r="A61" s="54">
        <f t="shared" si="11"/>
        <v>114</v>
      </c>
      <c r="B61" s="55">
        <f t="shared" si="6"/>
        <v>0</v>
      </c>
      <c r="C61" s="56">
        <f t="shared" si="7"/>
        <v>-0.13807195117186219</v>
      </c>
      <c r="D61" s="56">
        <f t="shared" si="8"/>
        <v>8.94012115829333</v>
      </c>
      <c r="E61" s="56">
        <f t="shared" si="9"/>
        <v>0</v>
      </c>
      <c r="F61" s="175">
        <f t="shared" si="10"/>
        <v>8.8020492071214687</v>
      </c>
    </row>
    <row r="62" spans="1:6" x14ac:dyDescent="0.25">
      <c r="A62" s="54">
        <f t="shared" si="11"/>
        <v>116</v>
      </c>
      <c r="B62" s="55">
        <f t="shared" si="6"/>
        <v>0</v>
      </c>
      <c r="C62" s="56">
        <f t="shared" si="7"/>
        <v>-0.13807195117186219</v>
      </c>
      <c r="D62" s="56">
        <f t="shared" si="8"/>
        <v>10.94012115829333</v>
      </c>
      <c r="E62" s="56">
        <f t="shared" si="9"/>
        <v>0</v>
      </c>
      <c r="F62" s="175">
        <f t="shared" si="10"/>
        <v>10.802049207121469</v>
      </c>
    </row>
    <row r="63" spans="1:6" x14ac:dyDescent="0.25">
      <c r="A63" s="54">
        <f t="shared" si="11"/>
        <v>118</v>
      </c>
      <c r="B63" s="55">
        <f t="shared" si="6"/>
        <v>0</v>
      </c>
      <c r="C63" s="56">
        <f t="shared" si="7"/>
        <v>-0.13807195117186219</v>
      </c>
      <c r="D63" s="56">
        <f t="shared" si="8"/>
        <v>12.94012115829333</v>
      </c>
      <c r="E63" s="56">
        <f t="shared" si="9"/>
        <v>0</v>
      </c>
      <c r="F63" s="175">
        <f t="shared" si="10"/>
        <v>12.802049207121469</v>
      </c>
    </row>
    <row r="64" spans="1:6" x14ac:dyDescent="0.25">
      <c r="A64" s="54">
        <f t="shared" si="11"/>
        <v>120</v>
      </c>
      <c r="B64" s="55">
        <f t="shared" si="6"/>
        <v>0</v>
      </c>
      <c r="C64" s="56">
        <f t="shared" si="7"/>
        <v>-0.13807195117186219</v>
      </c>
      <c r="D64" s="56">
        <f t="shared" si="8"/>
        <v>14.94012115829333</v>
      </c>
      <c r="E64" s="56">
        <f t="shared" si="9"/>
        <v>0</v>
      </c>
      <c r="F64" s="175">
        <f t="shared" si="10"/>
        <v>14.802049207121469</v>
      </c>
    </row>
    <row r="65" spans="1:6" x14ac:dyDescent="0.25">
      <c r="A65" s="54">
        <f t="shared" si="11"/>
        <v>122</v>
      </c>
      <c r="B65" s="55">
        <f t="shared" si="6"/>
        <v>0</v>
      </c>
      <c r="C65" s="56">
        <f t="shared" si="7"/>
        <v>-0.13807195117186219</v>
      </c>
      <c r="D65" s="56">
        <f t="shared" si="8"/>
        <v>16.94012115829333</v>
      </c>
      <c r="E65" s="56">
        <f t="shared" si="9"/>
        <v>0</v>
      </c>
      <c r="F65" s="175">
        <f t="shared" si="10"/>
        <v>16.802049207121467</v>
      </c>
    </row>
    <row r="66" spans="1:6" x14ac:dyDescent="0.25">
      <c r="A66" s="54">
        <f t="shared" si="11"/>
        <v>124</v>
      </c>
      <c r="B66" s="55">
        <f t="shared" si="6"/>
        <v>0</v>
      </c>
      <c r="C66" s="56">
        <f t="shared" si="7"/>
        <v>-0.13807195117186219</v>
      </c>
      <c r="D66" s="56">
        <f t="shared" si="8"/>
        <v>18.94012115829333</v>
      </c>
      <c r="E66" s="56">
        <f t="shared" si="9"/>
        <v>0</v>
      </c>
      <c r="F66" s="175">
        <f t="shared" si="10"/>
        <v>18.802049207121467</v>
      </c>
    </row>
    <row r="67" spans="1:6" x14ac:dyDescent="0.25">
      <c r="A67" s="54">
        <f t="shared" si="11"/>
        <v>126</v>
      </c>
      <c r="B67" s="55">
        <f t="shared" si="6"/>
        <v>0</v>
      </c>
      <c r="C67" s="56">
        <f t="shared" si="7"/>
        <v>-0.13807195117186219</v>
      </c>
      <c r="D67" s="56">
        <f t="shared" si="8"/>
        <v>20.94012115829333</v>
      </c>
      <c r="E67" s="56">
        <f t="shared" si="9"/>
        <v>0</v>
      </c>
      <c r="F67" s="175">
        <f t="shared" si="10"/>
        <v>20.802049207121467</v>
      </c>
    </row>
    <row r="68" spans="1:6" x14ac:dyDescent="0.25">
      <c r="A68" s="54">
        <f t="shared" si="11"/>
        <v>128</v>
      </c>
      <c r="B68" s="55">
        <f t="shared" ref="B68:B99" si="12">(MAX(IF($B$1="C",1,-1)*(A68-$K$5),0)-IF($K$10="Y",$K$13*EXP($K$6*$K$9),0))*$K$4</f>
        <v>0</v>
      </c>
      <c r="C68" s="56">
        <f t="shared" ref="C68:C104" si="13">(MAX(IF($C$1="C",1,-1)*(A68-$L$5),0)-IF($K$10="Y",$L$13*EXP($K$6*$K$9),0))*$L$4</f>
        <v>-0.13807195117186219</v>
      </c>
      <c r="D68" s="56">
        <f t="shared" ref="D68:D104" si="14">(MAX(IF($D$1="C",1,-1)*(A68-$M$5),0)-IF($K$10="Y",$M$13*EXP($K$6*$K$9),0))*$M$4</f>
        <v>22.94012115829333</v>
      </c>
      <c r="E68" s="56">
        <f t="shared" ref="E68:E104" si="15">(MAX(IF($E$1="C",1,-1)*(A68-$N$5),0)-IF($K$10="Y",$N$13*EXP($K$6*$K$9),0))*$N$4</f>
        <v>0</v>
      </c>
      <c r="F68" s="175">
        <f t="shared" ref="F68:F99" si="16">SUM(B68:E68)</f>
        <v>22.802049207121467</v>
      </c>
    </row>
    <row r="69" spans="1:6" x14ac:dyDescent="0.25">
      <c r="A69" s="54">
        <f t="shared" ref="A69:A104" si="17">A68+2</f>
        <v>130</v>
      </c>
      <c r="B69" s="55">
        <f t="shared" si="12"/>
        <v>0</v>
      </c>
      <c r="C69" s="56">
        <f t="shared" si="13"/>
        <v>-0.13807195117186219</v>
      </c>
      <c r="D69" s="56">
        <f t="shared" si="14"/>
        <v>24.94012115829333</v>
      </c>
      <c r="E69" s="56">
        <f t="shared" si="15"/>
        <v>0</v>
      </c>
      <c r="F69" s="175">
        <f t="shared" si="16"/>
        <v>24.802049207121467</v>
      </c>
    </row>
    <row r="70" spans="1:6" x14ac:dyDescent="0.25">
      <c r="A70" s="54">
        <f t="shared" si="17"/>
        <v>132</v>
      </c>
      <c r="B70" s="55">
        <f t="shared" si="12"/>
        <v>0</v>
      </c>
      <c r="C70" s="56">
        <f t="shared" si="13"/>
        <v>-0.13807195117186219</v>
      </c>
      <c r="D70" s="56">
        <f t="shared" si="14"/>
        <v>26.94012115829333</v>
      </c>
      <c r="E70" s="56">
        <f t="shared" si="15"/>
        <v>0</v>
      </c>
      <c r="F70" s="175">
        <f t="shared" si="16"/>
        <v>26.802049207121467</v>
      </c>
    </row>
    <row r="71" spans="1:6" x14ac:dyDescent="0.25">
      <c r="A71" s="54">
        <f t="shared" si="17"/>
        <v>134</v>
      </c>
      <c r="B71" s="55">
        <f t="shared" si="12"/>
        <v>0</v>
      </c>
      <c r="C71" s="56">
        <f t="shared" si="13"/>
        <v>-0.13807195117186219</v>
      </c>
      <c r="D71" s="56">
        <f t="shared" si="14"/>
        <v>28.94012115829333</v>
      </c>
      <c r="E71" s="56">
        <f t="shared" si="15"/>
        <v>0</v>
      </c>
      <c r="F71" s="175">
        <f t="shared" si="16"/>
        <v>28.802049207121467</v>
      </c>
    </row>
    <row r="72" spans="1:6" x14ac:dyDescent="0.25">
      <c r="A72" s="54">
        <f t="shared" si="17"/>
        <v>136</v>
      </c>
      <c r="B72" s="55">
        <f t="shared" si="12"/>
        <v>0</v>
      </c>
      <c r="C72" s="56">
        <f t="shared" si="13"/>
        <v>-0.13807195117186219</v>
      </c>
      <c r="D72" s="56">
        <f t="shared" si="14"/>
        <v>30.94012115829333</v>
      </c>
      <c r="E72" s="56">
        <f t="shared" si="15"/>
        <v>0</v>
      </c>
      <c r="F72" s="175">
        <f t="shared" si="16"/>
        <v>30.802049207121467</v>
      </c>
    </row>
    <row r="73" spans="1:6" x14ac:dyDescent="0.25">
      <c r="A73" s="54">
        <f t="shared" si="17"/>
        <v>138</v>
      </c>
      <c r="B73" s="55">
        <f t="shared" si="12"/>
        <v>0</v>
      </c>
      <c r="C73" s="56">
        <f t="shared" si="13"/>
        <v>-0.13807195117186219</v>
      </c>
      <c r="D73" s="56">
        <f t="shared" si="14"/>
        <v>32.94012115829333</v>
      </c>
      <c r="E73" s="56">
        <f t="shared" si="15"/>
        <v>0</v>
      </c>
      <c r="F73" s="175">
        <f t="shared" si="16"/>
        <v>32.80204920712147</v>
      </c>
    </row>
    <row r="74" spans="1:6" x14ac:dyDescent="0.25">
      <c r="A74" s="54">
        <f t="shared" si="17"/>
        <v>140</v>
      </c>
      <c r="B74" s="55">
        <f t="shared" si="12"/>
        <v>0</v>
      </c>
      <c r="C74" s="56">
        <f t="shared" si="13"/>
        <v>-0.13807195117186219</v>
      </c>
      <c r="D74" s="56">
        <f t="shared" si="14"/>
        <v>34.94012115829333</v>
      </c>
      <c r="E74" s="56">
        <f t="shared" si="15"/>
        <v>0</v>
      </c>
      <c r="F74" s="175">
        <f t="shared" si="16"/>
        <v>34.80204920712147</v>
      </c>
    </row>
    <row r="75" spans="1:6" x14ac:dyDescent="0.25">
      <c r="A75" s="54">
        <f t="shared" si="17"/>
        <v>142</v>
      </c>
      <c r="B75" s="55">
        <f t="shared" si="12"/>
        <v>0</v>
      </c>
      <c r="C75" s="56">
        <f t="shared" si="13"/>
        <v>-0.13807195117186219</v>
      </c>
      <c r="D75" s="56">
        <f t="shared" si="14"/>
        <v>36.94012115829333</v>
      </c>
      <c r="E75" s="56">
        <f t="shared" si="15"/>
        <v>0</v>
      </c>
      <c r="F75" s="175">
        <f t="shared" si="16"/>
        <v>36.80204920712147</v>
      </c>
    </row>
    <row r="76" spans="1:6" x14ac:dyDescent="0.25">
      <c r="A76" s="54">
        <f t="shared" si="17"/>
        <v>144</v>
      </c>
      <c r="B76" s="55">
        <f t="shared" si="12"/>
        <v>0</v>
      </c>
      <c r="C76" s="56">
        <f t="shared" si="13"/>
        <v>-0.13807195117186219</v>
      </c>
      <c r="D76" s="56">
        <f t="shared" si="14"/>
        <v>38.94012115829333</v>
      </c>
      <c r="E76" s="56">
        <f t="shared" si="15"/>
        <v>0</v>
      </c>
      <c r="F76" s="175">
        <f t="shared" si="16"/>
        <v>38.80204920712147</v>
      </c>
    </row>
    <row r="77" spans="1:6" x14ac:dyDescent="0.25">
      <c r="A77" s="54">
        <f t="shared" si="17"/>
        <v>146</v>
      </c>
      <c r="B77" s="55">
        <f t="shared" si="12"/>
        <v>0</v>
      </c>
      <c r="C77" s="56">
        <f t="shared" si="13"/>
        <v>-0.13807195117186219</v>
      </c>
      <c r="D77" s="56">
        <f t="shared" si="14"/>
        <v>40.94012115829333</v>
      </c>
      <c r="E77" s="56">
        <f t="shared" si="15"/>
        <v>0</v>
      </c>
      <c r="F77" s="175">
        <f t="shared" si="16"/>
        <v>40.80204920712147</v>
      </c>
    </row>
    <row r="78" spans="1:6" x14ac:dyDescent="0.25">
      <c r="A78" s="54">
        <f t="shared" si="17"/>
        <v>148</v>
      </c>
      <c r="B78" s="55">
        <f t="shared" si="12"/>
        <v>0</v>
      </c>
      <c r="C78" s="56">
        <f t="shared" si="13"/>
        <v>-0.13807195117186219</v>
      </c>
      <c r="D78" s="56">
        <f t="shared" si="14"/>
        <v>42.94012115829333</v>
      </c>
      <c r="E78" s="56">
        <f t="shared" si="15"/>
        <v>0</v>
      </c>
      <c r="F78" s="175">
        <f t="shared" si="16"/>
        <v>42.80204920712147</v>
      </c>
    </row>
    <row r="79" spans="1:6" x14ac:dyDescent="0.25">
      <c r="A79" s="54">
        <f t="shared" si="17"/>
        <v>150</v>
      </c>
      <c r="B79" s="55">
        <f t="shared" si="12"/>
        <v>0</v>
      </c>
      <c r="C79" s="56">
        <f t="shared" si="13"/>
        <v>-0.13807195117186219</v>
      </c>
      <c r="D79" s="56">
        <f t="shared" si="14"/>
        <v>44.94012115829333</v>
      </c>
      <c r="E79" s="56">
        <f t="shared" si="15"/>
        <v>0</v>
      </c>
      <c r="F79" s="175">
        <f t="shared" si="16"/>
        <v>44.80204920712147</v>
      </c>
    </row>
    <row r="80" spans="1:6" x14ac:dyDescent="0.25">
      <c r="A80" s="54">
        <f t="shared" si="17"/>
        <v>152</v>
      </c>
      <c r="B80" s="55">
        <f t="shared" si="12"/>
        <v>0</v>
      </c>
      <c r="C80" s="56">
        <f t="shared" si="13"/>
        <v>-0.13807195117186219</v>
      </c>
      <c r="D80" s="56">
        <f t="shared" si="14"/>
        <v>46.94012115829333</v>
      </c>
      <c r="E80" s="56">
        <f t="shared" si="15"/>
        <v>0</v>
      </c>
      <c r="F80" s="175">
        <f t="shared" si="16"/>
        <v>46.80204920712147</v>
      </c>
    </row>
    <row r="81" spans="1:6" x14ac:dyDescent="0.25">
      <c r="A81" s="54">
        <f t="shared" si="17"/>
        <v>154</v>
      </c>
      <c r="B81" s="55">
        <f t="shared" si="12"/>
        <v>0</v>
      </c>
      <c r="C81" s="56">
        <f t="shared" si="13"/>
        <v>-0.13807195117186219</v>
      </c>
      <c r="D81" s="56">
        <f t="shared" si="14"/>
        <v>48.94012115829333</v>
      </c>
      <c r="E81" s="56">
        <f t="shared" si="15"/>
        <v>0</v>
      </c>
      <c r="F81" s="175">
        <f t="shared" si="16"/>
        <v>48.80204920712147</v>
      </c>
    </row>
    <row r="82" spans="1:6" x14ac:dyDescent="0.25">
      <c r="A82" s="54">
        <f t="shared" si="17"/>
        <v>156</v>
      </c>
      <c r="B82" s="55">
        <f t="shared" si="12"/>
        <v>0</v>
      </c>
      <c r="C82" s="56">
        <f t="shared" si="13"/>
        <v>-0.13807195117186219</v>
      </c>
      <c r="D82" s="56">
        <f t="shared" si="14"/>
        <v>50.94012115829333</v>
      </c>
      <c r="E82" s="56">
        <f t="shared" si="15"/>
        <v>0</v>
      </c>
      <c r="F82" s="175">
        <f t="shared" si="16"/>
        <v>50.80204920712147</v>
      </c>
    </row>
    <row r="83" spans="1:6" x14ac:dyDescent="0.25">
      <c r="A83" s="54">
        <f t="shared" si="17"/>
        <v>158</v>
      </c>
      <c r="B83" s="55">
        <f t="shared" si="12"/>
        <v>0</v>
      </c>
      <c r="C83" s="56">
        <f t="shared" si="13"/>
        <v>-0.13807195117186219</v>
      </c>
      <c r="D83" s="56">
        <f t="shared" si="14"/>
        <v>52.94012115829333</v>
      </c>
      <c r="E83" s="56">
        <f t="shared" si="15"/>
        <v>0</v>
      </c>
      <c r="F83" s="175">
        <f t="shared" si="16"/>
        <v>52.80204920712147</v>
      </c>
    </row>
    <row r="84" spans="1:6" x14ac:dyDescent="0.25">
      <c r="A84" s="54">
        <f t="shared" si="17"/>
        <v>160</v>
      </c>
      <c r="B84" s="55">
        <f t="shared" si="12"/>
        <v>0</v>
      </c>
      <c r="C84" s="56">
        <f t="shared" si="13"/>
        <v>-0.13807195117186219</v>
      </c>
      <c r="D84" s="56">
        <f t="shared" si="14"/>
        <v>54.94012115829333</v>
      </c>
      <c r="E84" s="56">
        <f t="shared" si="15"/>
        <v>0</v>
      </c>
      <c r="F84" s="175">
        <f t="shared" si="16"/>
        <v>54.80204920712147</v>
      </c>
    </row>
    <row r="85" spans="1:6" x14ac:dyDescent="0.25">
      <c r="A85" s="54">
        <f t="shared" si="17"/>
        <v>162</v>
      </c>
      <c r="B85" s="55">
        <f t="shared" si="12"/>
        <v>0</v>
      </c>
      <c r="C85" s="56">
        <f t="shared" si="13"/>
        <v>-0.13807195117186219</v>
      </c>
      <c r="D85" s="56">
        <f t="shared" si="14"/>
        <v>56.94012115829333</v>
      </c>
      <c r="E85" s="56">
        <f t="shared" si="15"/>
        <v>0</v>
      </c>
      <c r="F85" s="175">
        <f t="shared" si="16"/>
        <v>56.80204920712147</v>
      </c>
    </row>
    <row r="86" spans="1:6" x14ac:dyDescent="0.25">
      <c r="A86" s="54">
        <f t="shared" si="17"/>
        <v>164</v>
      </c>
      <c r="B86" s="55">
        <f t="shared" si="12"/>
        <v>0</v>
      </c>
      <c r="C86" s="56">
        <f t="shared" si="13"/>
        <v>-0.13807195117186219</v>
      </c>
      <c r="D86" s="56">
        <f t="shared" si="14"/>
        <v>58.94012115829333</v>
      </c>
      <c r="E86" s="56">
        <f t="shared" si="15"/>
        <v>0</v>
      </c>
      <c r="F86" s="175">
        <f t="shared" si="16"/>
        <v>58.80204920712147</v>
      </c>
    </row>
    <row r="87" spans="1:6" x14ac:dyDescent="0.25">
      <c r="A87" s="54">
        <f t="shared" si="17"/>
        <v>166</v>
      </c>
      <c r="B87" s="55">
        <f t="shared" si="12"/>
        <v>0</v>
      </c>
      <c r="C87" s="56">
        <f t="shared" si="13"/>
        <v>-0.13807195117186219</v>
      </c>
      <c r="D87" s="56">
        <f t="shared" si="14"/>
        <v>60.94012115829333</v>
      </c>
      <c r="E87" s="56">
        <f t="shared" si="15"/>
        <v>0</v>
      </c>
      <c r="F87" s="175">
        <f t="shared" si="16"/>
        <v>60.80204920712147</v>
      </c>
    </row>
    <row r="88" spans="1:6" x14ac:dyDescent="0.25">
      <c r="A88" s="54">
        <f t="shared" si="17"/>
        <v>168</v>
      </c>
      <c r="B88" s="55">
        <f t="shared" si="12"/>
        <v>0</v>
      </c>
      <c r="C88" s="56">
        <f t="shared" si="13"/>
        <v>-0.13807195117186219</v>
      </c>
      <c r="D88" s="56">
        <f t="shared" si="14"/>
        <v>62.94012115829333</v>
      </c>
      <c r="E88" s="56">
        <f t="shared" si="15"/>
        <v>0</v>
      </c>
      <c r="F88" s="175">
        <f t="shared" si="16"/>
        <v>62.80204920712147</v>
      </c>
    </row>
    <row r="89" spans="1:6" x14ac:dyDescent="0.25">
      <c r="A89" s="54">
        <f t="shared" si="17"/>
        <v>170</v>
      </c>
      <c r="B89" s="55">
        <f t="shared" si="12"/>
        <v>0</v>
      </c>
      <c r="C89" s="56">
        <f t="shared" si="13"/>
        <v>-0.13807195117186219</v>
      </c>
      <c r="D89" s="56">
        <f t="shared" si="14"/>
        <v>64.940121158293323</v>
      </c>
      <c r="E89" s="56">
        <f t="shared" si="15"/>
        <v>0</v>
      </c>
      <c r="F89" s="175">
        <f t="shared" si="16"/>
        <v>64.802049207121456</v>
      </c>
    </row>
    <row r="90" spans="1:6" x14ac:dyDescent="0.25">
      <c r="A90" s="54">
        <f t="shared" si="17"/>
        <v>172</v>
      </c>
      <c r="B90" s="55">
        <f t="shared" si="12"/>
        <v>0</v>
      </c>
      <c r="C90" s="56">
        <f t="shared" si="13"/>
        <v>-0.13807195117186219</v>
      </c>
      <c r="D90" s="56">
        <f t="shared" si="14"/>
        <v>66.940121158293323</v>
      </c>
      <c r="E90" s="56">
        <f t="shared" si="15"/>
        <v>0</v>
      </c>
      <c r="F90" s="175">
        <f t="shared" si="16"/>
        <v>66.802049207121456</v>
      </c>
    </row>
    <row r="91" spans="1:6" x14ac:dyDescent="0.25">
      <c r="A91" s="54">
        <f t="shared" si="17"/>
        <v>174</v>
      </c>
      <c r="B91" s="55">
        <f t="shared" si="12"/>
        <v>0</v>
      </c>
      <c r="C91" s="56">
        <f t="shared" si="13"/>
        <v>-0.13807195117186219</v>
      </c>
      <c r="D91" s="56">
        <f t="shared" si="14"/>
        <v>68.940121158293323</v>
      </c>
      <c r="E91" s="56">
        <f t="shared" si="15"/>
        <v>0</v>
      </c>
      <c r="F91" s="175">
        <f t="shared" si="16"/>
        <v>68.802049207121456</v>
      </c>
    </row>
    <row r="92" spans="1:6" x14ac:dyDescent="0.25">
      <c r="A92" s="54">
        <f t="shared" si="17"/>
        <v>176</v>
      </c>
      <c r="B92" s="55">
        <f t="shared" si="12"/>
        <v>0</v>
      </c>
      <c r="C92" s="56">
        <f t="shared" si="13"/>
        <v>-0.13807195117186219</v>
      </c>
      <c r="D92" s="56">
        <f t="shared" si="14"/>
        <v>70.940121158293323</v>
      </c>
      <c r="E92" s="56">
        <f t="shared" si="15"/>
        <v>0</v>
      </c>
      <c r="F92" s="175">
        <f t="shared" si="16"/>
        <v>70.802049207121456</v>
      </c>
    </row>
    <row r="93" spans="1:6" x14ac:dyDescent="0.25">
      <c r="A93" s="54">
        <f t="shared" si="17"/>
        <v>178</v>
      </c>
      <c r="B93" s="55">
        <f t="shared" si="12"/>
        <v>0</v>
      </c>
      <c r="C93" s="56">
        <f t="shared" si="13"/>
        <v>-0.13807195117186219</v>
      </c>
      <c r="D93" s="56">
        <f t="shared" si="14"/>
        <v>72.940121158293323</v>
      </c>
      <c r="E93" s="56">
        <f t="shared" si="15"/>
        <v>0</v>
      </c>
      <c r="F93" s="175">
        <f t="shared" si="16"/>
        <v>72.802049207121456</v>
      </c>
    </row>
    <row r="94" spans="1:6" x14ac:dyDescent="0.25">
      <c r="A94" s="54">
        <f t="shared" si="17"/>
        <v>180</v>
      </c>
      <c r="B94" s="55">
        <f t="shared" si="12"/>
        <v>0</v>
      </c>
      <c r="C94" s="56">
        <f t="shared" si="13"/>
        <v>-0.13807195117186219</v>
      </c>
      <c r="D94" s="56">
        <f t="shared" si="14"/>
        <v>74.940121158293323</v>
      </c>
      <c r="E94" s="56">
        <f t="shared" si="15"/>
        <v>0</v>
      </c>
      <c r="F94" s="175">
        <f t="shared" si="16"/>
        <v>74.802049207121456</v>
      </c>
    </row>
    <row r="95" spans="1:6" x14ac:dyDescent="0.25">
      <c r="A95" s="54">
        <f t="shared" si="17"/>
        <v>182</v>
      </c>
      <c r="B95" s="55">
        <f t="shared" si="12"/>
        <v>0</v>
      </c>
      <c r="C95" s="56">
        <f t="shared" si="13"/>
        <v>-0.13807195117186219</v>
      </c>
      <c r="D95" s="56">
        <f t="shared" si="14"/>
        <v>76.940121158293323</v>
      </c>
      <c r="E95" s="56">
        <f t="shared" si="15"/>
        <v>0</v>
      </c>
      <c r="F95" s="175">
        <f t="shared" si="16"/>
        <v>76.802049207121456</v>
      </c>
    </row>
    <row r="96" spans="1:6" x14ac:dyDescent="0.25">
      <c r="A96" s="54">
        <f t="shared" si="17"/>
        <v>184</v>
      </c>
      <c r="B96" s="55">
        <f t="shared" si="12"/>
        <v>0</v>
      </c>
      <c r="C96" s="56">
        <f t="shared" si="13"/>
        <v>-0.13807195117186219</v>
      </c>
      <c r="D96" s="56">
        <f t="shared" si="14"/>
        <v>78.940121158293323</v>
      </c>
      <c r="E96" s="56">
        <f t="shared" si="15"/>
        <v>0</v>
      </c>
      <c r="F96" s="175">
        <f t="shared" si="16"/>
        <v>78.802049207121456</v>
      </c>
    </row>
    <row r="97" spans="1:6" x14ac:dyDescent="0.25">
      <c r="A97" s="54">
        <f t="shared" si="17"/>
        <v>186</v>
      </c>
      <c r="B97" s="55">
        <f t="shared" si="12"/>
        <v>0</v>
      </c>
      <c r="C97" s="56">
        <f t="shared" si="13"/>
        <v>-0.13807195117186219</v>
      </c>
      <c r="D97" s="56">
        <f t="shared" si="14"/>
        <v>80.940121158293323</v>
      </c>
      <c r="E97" s="56">
        <f t="shared" si="15"/>
        <v>0</v>
      </c>
      <c r="F97" s="175">
        <f t="shared" si="16"/>
        <v>80.802049207121456</v>
      </c>
    </row>
    <row r="98" spans="1:6" x14ac:dyDescent="0.25">
      <c r="A98" s="54">
        <f t="shared" si="17"/>
        <v>188</v>
      </c>
      <c r="B98" s="55">
        <f t="shared" si="12"/>
        <v>0</v>
      </c>
      <c r="C98" s="56">
        <f t="shared" si="13"/>
        <v>-0.13807195117186219</v>
      </c>
      <c r="D98" s="56">
        <f t="shared" si="14"/>
        <v>82.940121158293323</v>
      </c>
      <c r="E98" s="56">
        <f t="shared" si="15"/>
        <v>0</v>
      </c>
      <c r="F98" s="175">
        <f t="shared" si="16"/>
        <v>82.802049207121456</v>
      </c>
    </row>
    <row r="99" spans="1:6" x14ac:dyDescent="0.25">
      <c r="A99" s="54">
        <f t="shared" si="17"/>
        <v>190</v>
      </c>
      <c r="B99" s="55">
        <f t="shared" si="12"/>
        <v>0</v>
      </c>
      <c r="C99" s="56">
        <f t="shared" si="13"/>
        <v>-0.13807195117186219</v>
      </c>
      <c r="D99" s="56">
        <f t="shared" si="14"/>
        <v>84.940121158293323</v>
      </c>
      <c r="E99" s="56">
        <f t="shared" si="15"/>
        <v>0</v>
      </c>
      <c r="F99" s="175">
        <f t="shared" si="16"/>
        <v>84.802049207121456</v>
      </c>
    </row>
    <row r="100" spans="1:6" x14ac:dyDescent="0.25">
      <c r="A100" s="54">
        <f t="shared" si="17"/>
        <v>192</v>
      </c>
      <c r="B100" s="55">
        <f t="shared" ref="B100:B104" si="18">(MAX(IF($B$1="C",1,-1)*(A100-$K$5),0)-IF($K$10="Y",$K$13*EXP($K$6*$K$9),0))*$K$4</f>
        <v>0</v>
      </c>
      <c r="C100" s="56">
        <f t="shared" si="13"/>
        <v>-0.13807195117186219</v>
      </c>
      <c r="D100" s="56">
        <f t="shared" si="14"/>
        <v>86.940121158293323</v>
      </c>
      <c r="E100" s="56">
        <f t="shared" si="15"/>
        <v>0</v>
      </c>
      <c r="F100" s="175">
        <f t="shared" ref="F100:F104" si="19">SUM(B100:E100)</f>
        <v>86.802049207121456</v>
      </c>
    </row>
    <row r="101" spans="1:6" x14ac:dyDescent="0.25">
      <c r="A101" s="54">
        <f t="shared" si="17"/>
        <v>194</v>
      </c>
      <c r="B101" s="55">
        <f t="shared" si="18"/>
        <v>0</v>
      </c>
      <c r="C101" s="56">
        <f t="shared" si="13"/>
        <v>-0.13807195117186219</v>
      </c>
      <c r="D101" s="56">
        <f t="shared" si="14"/>
        <v>88.940121158293323</v>
      </c>
      <c r="E101" s="56">
        <f t="shared" si="15"/>
        <v>0</v>
      </c>
      <c r="F101" s="175">
        <f t="shared" si="19"/>
        <v>88.802049207121456</v>
      </c>
    </row>
    <row r="102" spans="1:6" x14ac:dyDescent="0.25">
      <c r="A102" s="54">
        <f t="shared" si="17"/>
        <v>196</v>
      </c>
      <c r="B102" s="55">
        <f t="shared" si="18"/>
        <v>0</v>
      </c>
      <c r="C102" s="56">
        <f t="shared" si="13"/>
        <v>-0.13807195117186219</v>
      </c>
      <c r="D102" s="56">
        <f t="shared" si="14"/>
        <v>90.940121158293323</v>
      </c>
      <c r="E102" s="56">
        <f t="shared" si="15"/>
        <v>0</v>
      </c>
      <c r="F102" s="175">
        <f t="shared" si="19"/>
        <v>90.802049207121456</v>
      </c>
    </row>
    <row r="103" spans="1:6" x14ac:dyDescent="0.25">
      <c r="A103" s="54">
        <f t="shared" si="17"/>
        <v>198</v>
      </c>
      <c r="B103" s="55">
        <f t="shared" si="18"/>
        <v>0</v>
      </c>
      <c r="C103" s="56">
        <f t="shared" si="13"/>
        <v>-0.13807195117186219</v>
      </c>
      <c r="D103" s="56">
        <f t="shared" si="14"/>
        <v>92.940121158293323</v>
      </c>
      <c r="E103" s="56">
        <f t="shared" si="15"/>
        <v>0</v>
      </c>
      <c r="F103" s="175">
        <f t="shared" si="19"/>
        <v>92.802049207121456</v>
      </c>
    </row>
    <row r="104" spans="1:6" x14ac:dyDescent="0.25">
      <c r="A104" s="64">
        <f t="shared" si="17"/>
        <v>200</v>
      </c>
      <c r="B104" s="65">
        <f t="shared" si="18"/>
        <v>0</v>
      </c>
      <c r="C104" s="58">
        <f t="shared" si="13"/>
        <v>-0.13807195117186219</v>
      </c>
      <c r="D104" s="58">
        <f t="shared" si="14"/>
        <v>94.940121158293323</v>
      </c>
      <c r="E104" s="58">
        <f t="shared" si="15"/>
        <v>0</v>
      </c>
      <c r="F104" s="176">
        <f t="shared" si="19"/>
        <v>94.802049207121456</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A1:A2"/>
    <mergeCell ref="B1:B2"/>
    <mergeCell ref="C1:C2"/>
    <mergeCell ref="D1:D2"/>
    <mergeCell ref="E1:E2"/>
    <mergeCell ref="I2:I10"/>
    <mergeCell ref="K2:N2"/>
    <mergeCell ref="B3:E3"/>
    <mergeCell ref="K6:N6"/>
    <mergeCell ref="K7:N7"/>
    <mergeCell ref="K8:N8"/>
    <mergeCell ref="K9:N9"/>
    <mergeCell ref="K10:N10"/>
    <mergeCell ref="F1:F3"/>
  </mergeCells>
  <pageMargins left="0.75" right="0.75" top="1" bottom="1" header="0.5" footer="0.5"/>
  <pageSetup orientation="portrait" r:id="rId1"/>
  <headerFooter alignWithMargins="0"/>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79D73-9D25-426E-9F15-DF1023F12677}">
  <dimension ref="A1:R132"/>
  <sheetViews>
    <sheetView topLeftCell="L1" zoomScale="110" zoomScaleNormal="110" workbookViewId="0">
      <selection activeCell="N17" sqref="N17"/>
    </sheetView>
  </sheetViews>
  <sheetFormatPr baseColWidth="10" defaultColWidth="9.21875" defaultRowHeight="13.2" x14ac:dyDescent="0.25"/>
  <cols>
    <col min="1" max="1" width="20.44140625" style="622" bestFit="1" customWidth="1"/>
    <col min="2" max="12" width="9.21875" style="622"/>
    <col min="13" max="13" width="12.44140625" style="622" bestFit="1" customWidth="1"/>
    <col min="14" max="14" width="20.21875" style="622" bestFit="1" customWidth="1"/>
    <col min="15" max="16384" width="9.21875" style="622"/>
  </cols>
  <sheetData>
    <row r="1" spans="1:18" x14ac:dyDescent="0.25">
      <c r="A1" s="759" t="s">
        <v>89</v>
      </c>
      <c r="B1" s="761" t="str">
        <f>O3</f>
        <v>C</v>
      </c>
      <c r="C1" s="761" t="str">
        <f>P3</f>
        <v>P</v>
      </c>
      <c r="D1" s="763" t="str">
        <f>Q3</f>
        <v>C</v>
      </c>
      <c r="E1" s="764"/>
      <c r="F1" s="765"/>
      <c r="G1" s="763" t="str">
        <f>R3</f>
        <v>C</v>
      </c>
      <c r="H1" s="764"/>
      <c r="I1" s="765"/>
      <c r="J1" s="777" t="s">
        <v>90</v>
      </c>
      <c r="O1" s="623" t="s">
        <v>697</v>
      </c>
      <c r="P1" s="623" t="s">
        <v>698</v>
      </c>
      <c r="Q1" s="623" t="s">
        <v>699</v>
      </c>
      <c r="R1" s="623" t="s">
        <v>700</v>
      </c>
    </row>
    <row r="2" spans="1:18" x14ac:dyDescent="0.25">
      <c r="A2" s="760"/>
      <c r="B2" s="762"/>
      <c r="C2" s="762"/>
      <c r="D2" s="625" t="s">
        <v>108</v>
      </c>
      <c r="E2" s="625" t="s">
        <v>109</v>
      </c>
      <c r="F2" s="625" t="s">
        <v>701</v>
      </c>
      <c r="G2" s="625" t="s">
        <v>108</v>
      </c>
      <c r="H2" s="625" t="s">
        <v>109</v>
      </c>
      <c r="I2" s="625" t="s">
        <v>701</v>
      </c>
      <c r="J2" s="777"/>
      <c r="M2" s="759" t="s">
        <v>94</v>
      </c>
      <c r="N2" s="626" t="s">
        <v>95</v>
      </c>
      <c r="O2" s="767">
        <v>100</v>
      </c>
      <c r="P2" s="767"/>
      <c r="Q2" s="767"/>
      <c r="R2" s="767"/>
    </row>
    <row r="3" spans="1:18" x14ac:dyDescent="0.25">
      <c r="A3" s="628" t="s">
        <v>96</v>
      </c>
      <c r="B3" s="768" t="s">
        <v>193</v>
      </c>
      <c r="C3" s="769"/>
      <c r="D3" s="769"/>
      <c r="E3" s="769"/>
      <c r="F3" s="769"/>
      <c r="G3" s="769"/>
      <c r="H3" s="769"/>
      <c r="I3" s="770"/>
      <c r="J3" s="759"/>
      <c r="M3" s="766"/>
      <c r="N3" s="632" t="s">
        <v>97</v>
      </c>
      <c r="O3" s="627" t="s">
        <v>99</v>
      </c>
      <c r="P3" s="627" t="s">
        <v>98</v>
      </c>
      <c r="Q3" s="627" t="s">
        <v>99</v>
      </c>
      <c r="R3" s="627" t="s">
        <v>99</v>
      </c>
    </row>
    <row r="4" spans="1:18" x14ac:dyDescent="0.25">
      <c r="A4" s="629">
        <v>40</v>
      </c>
      <c r="B4" s="633">
        <f>(MAX(IF($B$1="C",1,-1)*(A4-$O$5),0)-IF($O$10="Y",$O$13*EXP($O$6*$O$9),0))*$O$4</f>
        <v>0.42921576026646741</v>
      </c>
      <c r="C4" s="626">
        <f>(MAX(IF($C$1="C",1,-1)*(A4-$P$5),0)-IF($O$10="Y",$P$13*EXP($O$6*$P$9),0))*$P$4</f>
        <v>0</v>
      </c>
      <c r="D4" s="626">
        <f>D5*2</f>
        <v>-17.162186293018312</v>
      </c>
      <c r="E4" s="630">
        <f>E5*2</f>
        <v>-17.407135267296631</v>
      </c>
      <c r="F4" s="633">
        <f>(IF($D$1="C",(A4*EXP(-$O$7*($Q$9-$O$9))*NORMSDIST(D4))-($Q$5*EXP(-$O$6*($Q$9-$O$9))*NORMSDIST(E4)),(-A4*EXP(-$O$7*($Q$9-$O$9))*NORMSDIST(-D4))+($Q$5*EXP(-$O$6*($Q$9-$O$9))*NORMSDIST(-E4)))-IF($O$10="Y",$Q$13*EXP($O$6*$O$9),0))*$Q$4</f>
        <v>-1.5350051513438654</v>
      </c>
      <c r="G4" s="626">
        <f>G5*2</f>
        <v>-17.162186293018312</v>
      </c>
      <c r="H4" s="630">
        <f>H5*2</f>
        <v>-17.407135267296631</v>
      </c>
      <c r="I4" s="633">
        <f>(IF($G$1="C",(A4*EXP(-$O$7*($R$9-$P$9))*NORMSDIST(G4))-($R$5*EXP(-$O$6*($R$9-$P$9))*NORMSDIST(H4)),(-A4*EXP(-$O$7*($R$9-$P$9))*NORMSDIST(-G4))+($R$5*EXP(-$O$6*($R$9-$P$9))*NORMSDIST(-H4)))-IF($O$10="Y",$R$13*EXP($O$6*$P$9),0))*$R$4</f>
        <v>0</v>
      </c>
      <c r="J4" s="634">
        <f>B4+C4+F4+I4</f>
        <v>-1.1057893910773979</v>
      </c>
      <c r="M4" s="766"/>
      <c r="N4" s="632" t="s">
        <v>100</v>
      </c>
      <c r="O4" s="627">
        <v>-1</v>
      </c>
      <c r="P4" s="627">
        <v>0</v>
      </c>
      <c r="Q4" s="627">
        <v>1</v>
      </c>
      <c r="R4" s="627">
        <v>0</v>
      </c>
    </row>
    <row r="5" spans="1:18" x14ac:dyDescent="0.25">
      <c r="A5" s="635">
        <f>A4+1.5</f>
        <v>41.5</v>
      </c>
      <c r="B5" s="636">
        <f t="shared" ref="B5:B68" si="0">(MAX(IF($B$1="C",1,-1)*(A5-$O$5),0)-IF($O$10="Y",$O$13*EXP($O$6*$O$9),0))*$O$4</f>
        <v>0.42921576026646741</v>
      </c>
      <c r="C5" s="637">
        <f t="shared" ref="C5:C68" si="1">(MAX(IF($C$1="C",1,-1)*(A5-$P$5),0)-IF($O$10="Y",$P$13*EXP($O$6*$P$9),0))*$P$4</f>
        <v>0</v>
      </c>
      <c r="D5" s="637">
        <f>(LN(A5/$Q$5)+(($O$6-$O$7+(0.5*$O$8*$O$8))*($Q$9-$O$9)))/($O$8*SQRT($Q$9-$O$9))</f>
        <v>-8.581093146509156</v>
      </c>
      <c r="E5" s="632">
        <f>D5-($O$8*SQRT($Q$9-$O$9))</f>
        <v>-8.7035676336483156</v>
      </c>
      <c r="F5" s="636">
        <f t="shared" ref="F5:F68" si="2">(IF($D$1="C",(A5*EXP(-$O$7*($Q$9-$O$9))*NORMSDIST(D5))-($Q$5*EXP(-$O$6*($Q$9-$O$9))*NORMSDIST(E5)),(-A5*EXP(-$O$7*($Q$9-$O$9))*NORMSDIST(-D5))+($Q$5*EXP(-$O$6*($Q$9-$O$9))*NORMSDIST(-E5)))-IF($O$10="Y",$Q$13*EXP($O$6*$O$9),0))*$Q$4</f>
        <v>-1.5350051513438654</v>
      </c>
      <c r="G5" s="637">
        <f>(LN(A5/$R$5)+(($O$6-$O$7+(0.5*$O$8*$O$8))*($R$9-$P$9)))/($O$8*SQRT($R$9-$P$9))</f>
        <v>-8.581093146509156</v>
      </c>
      <c r="H5" s="632">
        <f>G5-($O$8*SQRT($R$9-$P$9))</f>
        <v>-8.7035676336483156</v>
      </c>
      <c r="I5" s="636">
        <f t="shared" ref="I5:I68" si="3">(IF($G$1="C",(A5*EXP(-$O$7*($R$9-$P$9))*NORMSDIST(G5))-($R$5*EXP(-$O$6*($R$9-$P$9))*NORMSDIST(H5)),(-A5*EXP(-$O$7*($R$9-$P$9))*NORMSDIST(-G5))+($R$5*EXP(-$O$6*($R$9-$P$9))*NORMSDIST(-H5)))-IF($O$10="Y",$R$13*EXP($O$6*$P$9),0))*$R$4</f>
        <v>0</v>
      </c>
      <c r="J5" s="638">
        <f t="shared" ref="J5:J68" si="4">B5+C5+F5+I5</f>
        <v>-1.1057893910773979</v>
      </c>
      <c r="M5" s="766"/>
      <c r="N5" s="637" t="s">
        <v>101</v>
      </c>
      <c r="O5" s="627">
        <v>120</v>
      </c>
      <c r="P5" s="627">
        <f>O5</f>
        <v>120</v>
      </c>
      <c r="Q5" s="627">
        <f>P5</f>
        <v>120</v>
      </c>
      <c r="R5" s="627">
        <f>Q5</f>
        <v>120</v>
      </c>
    </row>
    <row r="6" spans="1:18" x14ac:dyDescent="0.25">
      <c r="A6" s="635">
        <f t="shared" ref="A6:A69" si="5">A5+1.5</f>
        <v>43</v>
      </c>
      <c r="B6" s="636">
        <f t="shared" si="0"/>
        <v>0.42921576026646741</v>
      </c>
      <c r="C6" s="637">
        <f t="shared" si="1"/>
        <v>0</v>
      </c>
      <c r="D6" s="637">
        <f t="shared" ref="D6:D69" si="6">(LN(A6/$Q$5)+(($O$6-$O$7+(0.5*$O$8*$O$8))*($Q$9-$O$9)))/($O$8*SQRT($Q$9-$O$9))</f>
        <v>-8.2911822492578278</v>
      </c>
      <c r="E6" s="632">
        <f t="shared" ref="E6:E69" si="7">D6-($O$8*SQRT($Q$9-$O$9))</f>
        <v>-8.4136567363969874</v>
      </c>
      <c r="F6" s="636">
        <f t="shared" si="2"/>
        <v>-1.5350051513438654</v>
      </c>
      <c r="G6" s="637">
        <f t="shared" ref="G6:G69" si="8">(LN(A6/$R$5)+(($O$6-$O$7+(0.5*$O$8*$O$8))*($R$9-$P$9)))/($O$8*SQRT($R$9-$P$9))</f>
        <v>-8.2911822492578278</v>
      </c>
      <c r="H6" s="632">
        <f t="shared" ref="H6:H69" si="9">G6-($O$8*SQRT($R$9-$P$9))</f>
        <v>-8.4136567363969874</v>
      </c>
      <c r="I6" s="636">
        <f t="shared" si="3"/>
        <v>0</v>
      </c>
      <c r="J6" s="638">
        <f t="shared" si="4"/>
        <v>-1.1057893910773979</v>
      </c>
      <c r="K6" s="639"/>
      <c r="M6" s="766"/>
      <c r="N6" s="637" t="s">
        <v>102</v>
      </c>
      <c r="O6" s="771">
        <v>0.02</v>
      </c>
      <c r="P6" s="772"/>
      <c r="Q6" s="772"/>
      <c r="R6" s="773"/>
    </row>
    <row r="7" spans="1:18" x14ac:dyDescent="0.25">
      <c r="A7" s="635">
        <f t="shared" si="5"/>
        <v>44.5</v>
      </c>
      <c r="B7" s="636">
        <f t="shared" si="0"/>
        <v>0.42921576026646741</v>
      </c>
      <c r="C7" s="637">
        <f t="shared" si="1"/>
        <v>0</v>
      </c>
      <c r="D7" s="637">
        <f t="shared" si="6"/>
        <v>-8.0112131366729997</v>
      </c>
      <c r="E7" s="632">
        <f t="shared" si="7"/>
        <v>-8.1336876238121594</v>
      </c>
      <c r="F7" s="636">
        <f t="shared" si="2"/>
        <v>-1.5350051513438649</v>
      </c>
      <c r="G7" s="637">
        <f t="shared" si="8"/>
        <v>-8.0112131366729997</v>
      </c>
      <c r="H7" s="632">
        <f t="shared" si="9"/>
        <v>-8.1336876238121594</v>
      </c>
      <c r="I7" s="636">
        <f t="shared" si="3"/>
        <v>0</v>
      </c>
      <c r="J7" s="638">
        <f t="shared" si="4"/>
        <v>-1.1057893910773975</v>
      </c>
      <c r="K7" s="640"/>
      <c r="M7" s="766"/>
      <c r="N7" s="637" t="s">
        <v>103</v>
      </c>
      <c r="O7" s="771">
        <v>0</v>
      </c>
      <c r="P7" s="772"/>
      <c r="Q7" s="772"/>
      <c r="R7" s="773"/>
    </row>
    <row r="8" spans="1:18" x14ac:dyDescent="0.25">
      <c r="A8" s="635">
        <f t="shared" si="5"/>
        <v>46</v>
      </c>
      <c r="B8" s="636">
        <f t="shared" si="0"/>
        <v>0.42921576026646741</v>
      </c>
      <c r="C8" s="637">
        <f t="shared" si="1"/>
        <v>0</v>
      </c>
      <c r="D8" s="637">
        <f t="shared" si="6"/>
        <v>-7.7405264974284353</v>
      </c>
      <c r="E8" s="632">
        <f t="shared" si="7"/>
        <v>-7.8630009845675941</v>
      </c>
      <c r="F8" s="636">
        <f t="shared" si="2"/>
        <v>-1.5350051513438621</v>
      </c>
      <c r="G8" s="637">
        <f t="shared" si="8"/>
        <v>-7.7405264974284353</v>
      </c>
      <c r="H8" s="632">
        <f t="shared" si="9"/>
        <v>-7.8630009845675941</v>
      </c>
      <c r="I8" s="636">
        <f t="shared" si="3"/>
        <v>0</v>
      </c>
      <c r="J8" s="638">
        <f t="shared" si="4"/>
        <v>-1.1057893910773946</v>
      </c>
      <c r="M8" s="766"/>
      <c r="N8" s="637" t="s">
        <v>104</v>
      </c>
      <c r="O8" s="771">
        <v>0.3</v>
      </c>
      <c r="P8" s="772"/>
      <c r="Q8" s="772"/>
      <c r="R8" s="773"/>
    </row>
    <row r="9" spans="1:18" x14ac:dyDescent="0.25">
      <c r="A9" s="635">
        <f t="shared" si="5"/>
        <v>47.5</v>
      </c>
      <c r="B9" s="636">
        <f t="shared" si="0"/>
        <v>0.42921576026646741</v>
      </c>
      <c r="C9" s="637">
        <f t="shared" si="1"/>
        <v>0</v>
      </c>
      <c r="D9" s="637">
        <f t="shared" si="6"/>
        <v>-7.4785265062381008</v>
      </c>
      <c r="E9" s="632">
        <f t="shared" si="7"/>
        <v>-7.6010009933772595</v>
      </c>
      <c r="F9" s="636">
        <f t="shared" si="2"/>
        <v>-1.5350051513438376</v>
      </c>
      <c r="G9" s="637">
        <f t="shared" si="8"/>
        <v>-7.4785265062381008</v>
      </c>
      <c r="H9" s="632">
        <f t="shared" si="9"/>
        <v>-7.6010009933772595</v>
      </c>
      <c r="I9" s="636">
        <f t="shared" si="3"/>
        <v>0</v>
      </c>
      <c r="J9" s="638">
        <f t="shared" si="4"/>
        <v>-1.1057893910773702</v>
      </c>
      <c r="M9" s="766"/>
      <c r="N9" s="641" t="s">
        <v>105</v>
      </c>
      <c r="O9" s="623">
        <f>2/12</f>
        <v>0.16666666666666666</v>
      </c>
      <c r="P9" s="623">
        <f>O9</f>
        <v>0.16666666666666666</v>
      </c>
      <c r="Q9" s="623">
        <f>P9*2</f>
        <v>0.33333333333333331</v>
      </c>
      <c r="R9" s="623">
        <f>Q9</f>
        <v>0.33333333333333331</v>
      </c>
    </row>
    <row r="10" spans="1:18" x14ac:dyDescent="0.25">
      <c r="A10" s="635">
        <f t="shared" si="5"/>
        <v>49</v>
      </c>
      <c r="B10" s="636">
        <f t="shared" si="0"/>
        <v>0.42921576026646741</v>
      </c>
      <c r="C10" s="637">
        <f t="shared" si="1"/>
        <v>0</v>
      </c>
      <c r="D10" s="637">
        <f t="shared" si="6"/>
        <v>-7.2246729258209381</v>
      </c>
      <c r="E10" s="632">
        <f t="shared" si="7"/>
        <v>-7.3471474129600969</v>
      </c>
      <c r="F10" s="636">
        <f t="shared" si="2"/>
        <v>-1.5350051513436673</v>
      </c>
      <c r="G10" s="637">
        <f t="shared" si="8"/>
        <v>-7.2246729258209381</v>
      </c>
      <c r="H10" s="632">
        <f t="shared" si="9"/>
        <v>-7.3471474129600969</v>
      </c>
      <c r="I10" s="636">
        <f t="shared" si="3"/>
        <v>0</v>
      </c>
      <c r="J10" s="638">
        <f t="shared" si="4"/>
        <v>-1.1057893910771999</v>
      </c>
      <c r="M10" s="760"/>
      <c r="N10" s="642" t="s">
        <v>106</v>
      </c>
      <c r="O10" s="774" t="s">
        <v>122</v>
      </c>
      <c r="P10" s="775"/>
      <c r="Q10" s="775"/>
      <c r="R10" s="776"/>
    </row>
    <row r="11" spans="1:18" x14ac:dyDescent="0.25">
      <c r="A11" s="635">
        <f t="shared" si="5"/>
        <v>50.5</v>
      </c>
      <c r="B11" s="636">
        <f t="shared" si="0"/>
        <v>0.42921576026646741</v>
      </c>
      <c r="C11" s="637">
        <f t="shared" si="1"/>
        <v>0</v>
      </c>
      <c r="D11" s="637">
        <f t="shared" si="6"/>
        <v>-6.9784744001114429</v>
      </c>
      <c r="E11" s="632">
        <f t="shared" si="7"/>
        <v>-7.1009488872506017</v>
      </c>
      <c r="F11" s="636">
        <f t="shared" si="2"/>
        <v>-1.5350051513426133</v>
      </c>
      <c r="G11" s="637">
        <f t="shared" si="8"/>
        <v>-6.9784744001114429</v>
      </c>
      <c r="H11" s="632">
        <f t="shared" si="9"/>
        <v>-7.1009488872506017</v>
      </c>
      <c r="I11" s="636">
        <f t="shared" si="3"/>
        <v>0</v>
      </c>
      <c r="J11" s="638">
        <f t="shared" si="4"/>
        <v>-1.1057893910761458</v>
      </c>
      <c r="M11" s="621" t="s">
        <v>107</v>
      </c>
      <c r="N11" s="633" t="s">
        <v>108</v>
      </c>
      <c r="O11" s="628">
        <f>(LN($O$2/O5)+(($O$6-$O$7+(0.5*$O$8*$O$8))*O9))/($O$8*SQRT(O9))</f>
        <v>-1.4001954812496711</v>
      </c>
      <c r="P11" s="628">
        <f t="shared" ref="P11:R11" si="10">(LN($O$2/P5)+(($O$6-$O$7+(0.5*$O$8*$O$8))*P9))/($O$8*SQRT(P9))</f>
        <v>-1.4001954812496711</v>
      </c>
      <c r="Q11" s="628">
        <f t="shared" si="10"/>
        <v>-0.92754144061619448</v>
      </c>
      <c r="R11" s="628">
        <f t="shared" si="10"/>
        <v>-0.92754144061619448</v>
      </c>
    </row>
    <row r="12" spans="1:18" x14ac:dyDescent="0.25">
      <c r="A12" s="635">
        <f t="shared" si="5"/>
        <v>52</v>
      </c>
      <c r="B12" s="636">
        <f t="shared" si="0"/>
        <v>0.42921576026646741</v>
      </c>
      <c r="C12" s="637">
        <f t="shared" si="1"/>
        <v>0</v>
      </c>
      <c r="D12" s="637">
        <f t="shared" si="6"/>
        <v>-6.7394827294065438</v>
      </c>
      <c r="E12" s="632">
        <f t="shared" si="7"/>
        <v>-6.8619572165457026</v>
      </c>
      <c r="F12" s="636">
        <f t="shared" si="2"/>
        <v>-1.5350051513367757</v>
      </c>
      <c r="G12" s="637">
        <f t="shared" si="8"/>
        <v>-6.7394827294065438</v>
      </c>
      <c r="H12" s="632">
        <f t="shared" si="9"/>
        <v>-6.8619572165457026</v>
      </c>
      <c r="I12" s="636">
        <f t="shared" si="3"/>
        <v>0</v>
      </c>
      <c r="J12" s="638">
        <f t="shared" si="4"/>
        <v>-1.1057893910703083</v>
      </c>
      <c r="M12" s="631"/>
      <c r="N12" s="636" t="s">
        <v>109</v>
      </c>
      <c r="O12" s="643">
        <f>O11-($O$8*SQRT(O9))</f>
        <v>-1.5226699683888301</v>
      </c>
      <c r="P12" s="643">
        <f t="shared" ref="P12:R12" si="11">P11-($O$8*SQRT(P9))</f>
        <v>-1.5226699683888301</v>
      </c>
      <c r="Q12" s="643">
        <f t="shared" si="11"/>
        <v>-1.1007465213730823</v>
      </c>
      <c r="R12" s="643">
        <f t="shared" si="11"/>
        <v>-1.1007465213730823</v>
      </c>
    </row>
    <row r="13" spans="1:18" x14ac:dyDescent="0.25">
      <c r="A13" s="635">
        <f t="shared" si="5"/>
        <v>53.5</v>
      </c>
      <c r="B13" s="636">
        <f t="shared" si="0"/>
        <v>0.42921576026646741</v>
      </c>
      <c r="C13" s="637">
        <f t="shared" si="1"/>
        <v>0</v>
      </c>
      <c r="D13" s="637">
        <f t="shared" si="6"/>
        <v>-6.5072879598279494</v>
      </c>
      <c r="E13" s="632">
        <f t="shared" si="7"/>
        <v>-6.6297624469671081</v>
      </c>
      <c r="F13" s="636">
        <f t="shared" si="2"/>
        <v>-1.5350051513076166</v>
      </c>
      <c r="G13" s="637">
        <f t="shared" si="8"/>
        <v>-6.5072879598279494</v>
      </c>
      <c r="H13" s="632">
        <f t="shared" si="9"/>
        <v>-6.6297624469671081</v>
      </c>
      <c r="I13" s="636">
        <f t="shared" si="3"/>
        <v>0</v>
      </c>
      <c r="J13" s="638">
        <f t="shared" si="4"/>
        <v>-1.1057893910411492</v>
      </c>
      <c r="M13" s="624"/>
      <c r="N13" s="644" t="s">
        <v>110</v>
      </c>
      <c r="O13" s="62">
        <f>IF(O3="C",($O$2*EXP(-$O$7*O9)*NORMSDIST(O11))-(O5*EXP(-$O$6*O9)*NORMSDIST(O12)),(-$O$2*EXP(-$O$7*O9)*NORMSDIST(-O11))-(-O5*EXP(-$O$6*O9)*NORMSDIST(-O12)))</f>
        <v>0.42778742295030714</v>
      </c>
      <c r="P13" s="62">
        <f t="shared" ref="P13:R13" si="12">IF(P3="C",($O$2*EXP(-$O$7*P9)*NORMSDIST(P11))-(P5*EXP(-$O$6*P9)*NORMSDIST(P12)),(-$O$2*EXP(-$O$7*P9)*NORMSDIST(-P11))-(-P5*EXP(-$O$6*P9)*NORMSDIST(-P12)))</f>
        <v>20.028453349493091</v>
      </c>
      <c r="Q13" s="62">
        <f t="shared" si="12"/>
        <v>1.5298969858449993</v>
      </c>
      <c r="R13" s="62">
        <f t="shared" si="12"/>
        <v>1.5298969858449993</v>
      </c>
    </row>
    <row r="14" spans="1:18" x14ac:dyDescent="0.25">
      <c r="A14" s="635">
        <f t="shared" si="5"/>
        <v>55</v>
      </c>
      <c r="B14" s="636">
        <f t="shared" si="0"/>
        <v>0.42921576026646741</v>
      </c>
      <c r="C14" s="637">
        <f t="shared" si="1"/>
        <v>0</v>
      </c>
      <c r="D14" s="637">
        <f t="shared" si="6"/>
        <v>-6.2815141519401765</v>
      </c>
      <c r="E14" s="632">
        <f t="shared" si="7"/>
        <v>-6.4039886390793352</v>
      </c>
      <c r="F14" s="636">
        <f t="shared" si="2"/>
        <v>-1.5350051511752947</v>
      </c>
      <c r="G14" s="637">
        <f t="shared" si="8"/>
        <v>-6.2815141519401765</v>
      </c>
      <c r="H14" s="632">
        <f t="shared" si="9"/>
        <v>-6.4039886390793352</v>
      </c>
      <c r="I14" s="636">
        <f t="shared" si="3"/>
        <v>0</v>
      </c>
      <c r="J14" s="638">
        <f t="shared" si="4"/>
        <v>-1.1057893909088272</v>
      </c>
      <c r="O14" s="645"/>
    </row>
    <row r="15" spans="1:18" x14ac:dyDescent="0.25">
      <c r="A15" s="635">
        <f t="shared" si="5"/>
        <v>56.5</v>
      </c>
      <c r="B15" s="636">
        <f t="shared" si="0"/>
        <v>0.42921576026646741</v>
      </c>
      <c r="C15" s="637">
        <f t="shared" si="1"/>
        <v>0</v>
      </c>
      <c r="D15" s="637">
        <f t="shared" si="6"/>
        <v>-6.0618157188342563</v>
      </c>
      <c r="E15" s="632">
        <f t="shared" si="7"/>
        <v>-6.1842902059734151</v>
      </c>
      <c r="F15" s="636">
        <f t="shared" si="2"/>
        <v>-1.5350051506261884</v>
      </c>
      <c r="G15" s="637">
        <f t="shared" si="8"/>
        <v>-6.0618157188342563</v>
      </c>
      <c r="H15" s="632">
        <f t="shared" si="9"/>
        <v>-6.1842902059734151</v>
      </c>
      <c r="I15" s="636">
        <f t="shared" si="3"/>
        <v>0</v>
      </c>
      <c r="J15" s="638">
        <f t="shared" si="4"/>
        <v>-1.1057893903597209</v>
      </c>
    </row>
    <row r="16" spans="1:18" x14ac:dyDescent="0.25">
      <c r="A16" s="635">
        <f t="shared" si="5"/>
        <v>58</v>
      </c>
      <c r="B16" s="636">
        <f t="shared" si="0"/>
        <v>0.42921576026646741</v>
      </c>
      <c r="C16" s="637">
        <f t="shared" si="1"/>
        <v>0</v>
      </c>
      <c r="D16" s="637">
        <f t="shared" si="6"/>
        <v>-5.8478742441150988</v>
      </c>
      <c r="E16" s="632">
        <f t="shared" si="7"/>
        <v>-5.9703487312542576</v>
      </c>
      <c r="F16" s="636">
        <f t="shared" si="2"/>
        <v>-1.5350051485298879</v>
      </c>
      <c r="G16" s="637">
        <f t="shared" si="8"/>
        <v>-5.8478742441150988</v>
      </c>
      <c r="H16" s="632">
        <f t="shared" si="9"/>
        <v>-5.9703487312542576</v>
      </c>
      <c r="I16" s="636">
        <f t="shared" si="3"/>
        <v>0</v>
      </c>
      <c r="J16" s="638">
        <f t="shared" si="4"/>
        <v>-1.1057893882634204</v>
      </c>
    </row>
    <row r="17" spans="1:13" x14ac:dyDescent="0.25">
      <c r="A17" s="635">
        <f t="shared" si="5"/>
        <v>59.5</v>
      </c>
      <c r="B17" s="636">
        <f t="shared" si="0"/>
        <v>0.42921576026646741</v>
      </c>
      <c r="C17" s="637">
        <f t="shared" si="1"/>
        <v>0</v>
      </c>
      <c r="D17" s="637">
        <f t="shared" si="6"/>
        <v>-5.6393957062449784</v>
      </c>
      <c r="E17" s="632">
        <f t="shared" si="7"/>
        <v>-5.7618701933841372</v>
      </c>
      <c r="F17" s="636">
        <f t="shared" si="2"/>
        <v>-1.5350051411269849</v>
      </c>
      <c r="G17" s="637">
        <f t="shared" si="8"/>
        <v>-5.6393957062449784</v>
      </c>
      <c r="H17" s="632">
        <f t="shared" si="9"/>
        <v>-5.7618701933841372</v>
      </c>
      <c r="I17" s="636">
        <f t="shared" si="3"/>
        <v>0</v>
      </c>
      <c r="J17" s="638">
        <f t="shared" si="4"/>
        <v>-1.1057893808605175</v>
      </c>
    </row>
    <row r="18" spans="1:13" x14ac:dyDescent="0.25">
      <c r="A18" s="635">
        <f t="shared" si="5"/>
        <v>61</v>
      </c>
      <c r="B18" s="636">
        <f t="shared" si="0"/>
        <v>0.42921576026646741</v>
      </c>
      <c r="C18" s="637">
        <f t="shared" si="1"/>
        <v>0</v>
      </c>
      <c r="D18" s="637">
        <f t="shared" si="6"/>
        <v>-5.4361080485188609</v>
      </c>
      <c r="E18" s="632">
        <f t="shared" si="7"/>
        <v>-5.5585825356580196</v>
      </c>
      <c r="F18" s="636">
        <f t="shared" si="2"/>
        <v>-1.535005116822818</v>
      </c>
      <c r="G18" s="637">
        <f t="shared" si="8"/>
        <v>-5.4361080485188609</v>
      </c>
      <c r="H18" s="632">
        <f t="shared" si="9"/>
        <v>-5.5585825356580196</v>
      </c>
      <c r="I18" s="636">
        <f t="shared" si="3"/>
        <v>0</v>
      </c>
      <c r="J18" s="638">
        <f t="shared" si="4"/>
        <v>-1.1057893565563506</v>
      </c>
    </row>
    <row r="19" spans="1:13" x14ac:dyDescent="0.25">
      <c r="A19" s="635">
        <f t="shared" si="5"/>
        <v>62.5</v>
      </c>
      <c r="B19" s="636">
        <f t="shared" si="0"/>
        <v>0.42921576026646741</v>
      </c>
      <c r="C19" s="637">
        <f t="shared" si="1"/>
        <v>0</v>
      </c>
      <c r="D19" s="637">
        <f t="shared" si="6"/>
        <v>-5.2377590442773281</v>
      </c>
      <c r="E19" s="632">
        <f t="shared" si="7"/>
        <v>-5.3602335314164868</v>
      </c>
      <c r="F19" s="636">
        <f t="shared" si="2"/>
        <v>-1.5350050423001718</v>
      </c>
      <c r="G19" s="637">
        <f t="shared" si="8"/>
        <v>-5.2377590442773281</v>
      </c>
      <c r="H19" s="632">
        <f t="shared" si="9"/>
        <v>-5.3602335314164868</v>
      </c>
      <c r="I19" s="636">
        <f t="shared" si="3"/>
        <v>0</v>
      </c>
      <c r="J19" s="638">
        <f t="shared" si="4"/>
        <v>-1.1057892820337043</v>
      </c>
    </row>
    <row r="20" spans="1:13" x14ac:dyDescent="0.25">
      <c r="A20" s="635">
        <f t="shared" si="5"/>
        <v>64</v>
      </c>
      <c r="B20" s="636">
        <f t="shared" si="0"/>
        <v>0.42921576026646741</v>
      </c>
      <c r="C20" s="637">
        <f t="shared" si="1"/>
        <v>0</v>
      </c>
      <c r="D20" s="637">
        <f t="shared" si="6"/>
        <v>-5.0441144153321291</v>
      </c>
      <c r="E20" s="632">
        <f t="shared" si="7"/>
        <v>-5.1665889024712879</v>
      </c>
      <c r="F20" s="636">
        <f t="shared" si="2"/>
        <v>-1.5350048279803927</v>
      </c>
      <c r="G20" s="637">
        <f t="shared" si="8"/>
        <v>-5.0441144153321291</v>
      </c>
      <c r="H20" s="632">
        <f t="shared" si="9"/>
        <v>-5.1665889024712879</v>
      </c>
      <c r="I20" s="636">
        <f t="shared" si="3"/>
        <v>0</v>
      </c>
      <c r="J20" s="638">
        <f t="shared" si="4"/>
        <v>-1.1057890677139253</v>
      </c>
    </row>
    <row r="21" spans="1:13" x14ac:dyDescent="0.25">
      <c r="A21" s="635">
        <f t="shared" si="5"/>
        <v>65.5</v>
      </c>
      <c r="B21" s="636">
        <f t="shared" si="0"/>
        <v>0.42921576026646741</v>
      </c>
      <c r="C21" s="637">
        <f t="shared" si="1"/>
        <v>0</v>
      </c>
      <c r="D21" s="637">
        <f t="shared" si="6"/>
        <v>-4.8549561683969014</v>
      </c>
      <c r="E21" s="632">
        <f t="shared" si="7"/>
        <v>-4.9774306555360601</v>
      </c>
      <c r="F21" s="636">
        <f t="shared" si="2"/>
        <v>-1.5350042476231733</v>
      </c>
      <c r="G21" s="637">
        <f t="shared" si="8"/>
        <v>-4.8549561683969014</v>
      </c>
      <c r="H21" s="632">
        <f t="shared" si="9"/>
        <v>-4.9774306555360601</v>
      </c>
      <c r="I21" s="636">
        <f t="shared" si="3"/>
        <v>0</v>
      </c>
      <c r="J21" s="638">
        <f t="shared" si="4"/>
        <v>-1.1057884873567059</v>
      </c>
    </row>
    <row r="22" spans="1:13" x14ac:dyDescent="0.25">
      <c r="A22" s="635">
        <f t="shared" si="5"/>
        <v>67</v>
      </c>
      <c r="B22" s="636">
        <f t="shared" si="0"/>
        <v>0.42921576026646741</v>
      </c>
      <c r="C22" s="637">
        <f t="shared" si="1"/>
        <v>0</v>
      </c>
      <c r="D22" s="637">
        <f t="shared" si="6"/>
        <v>-4.6700811198977563</v>
      </c>
      <c r="E22" s="632">
        <f t="shared" si="7"/>
        <v>-4.7925556070369151</v>
      </c>
      <c r="F22" s="636">
        <f t="shared" si="2"/>
        <v>-1.5350027625431659</v>
      </c>
      <c r="G22" s="637">
        <f t="shared" si="8"/>
        <v>-4.6700811198977563</v>
      </c>
      <c r="H22" s="632">
        <f t="shared" si="9"/>
        <v>-4.7925556070369151</v>
      </c>
      <c r="I22" s="636">
        <f t="shared" si="3"/>
        <v>0</v>
      </c>
      <c r="J22" s="638">
        <f t="shared" si="4"/>
        <v>-1.1057870022766985</v>
      </c>
    </row>
    <row r="23" spans="1:13" x14ac:dyDescent="0.25">
      <c r="A23" s="635">
        <f t="shared" si="5"/>
        <v>68.5</v>
      </c>
      <c r="B23" s="636">
        <f t="shared" si="0"/>
        <v>0.42921576026646741</v>
      </c>
      <c r="C23" s="637">
        <f t="shared" si="1"/>
        <v>0</v>
      </c>
      <c r="D23" s="637">
        <f t="shared" si="6"/>
        <v>-4.4892995841314045</v>
      </c>
      <c r="E23" s="632">
        <f t="shared" si="7"/>
        <v>-4.6117740712705633</v>
      </c>
      <c r="F23" s="636">
        <f t="shared" si="2"/>
        <v>-1.5349991594961558</v>
      </c>
      <c r="G23" s="637">
        <f t="shared" si="8"/>
        <v>-4.4892995841314045</v>
      </c>
      <c r="H23" s="632">
        <f t="shared" si="9"/>
        <v>-4.6117740712705633</v>
      </c>
      <c r="I23" s="636">
        <f t="shared" si="3"/>
        <v>0</v>
      </c>
      <c r="J23" s="638">
        <f t="shared" si="4"/>
        <v>-1.1057833992296884</v>
      </c>
    </row>
    <row r="24" spans="1:13" x14ac:dyDescent="0.25">
      <c r="A24" s="635">
        <f t="shared" si="5"/>
        <v>70</v>
      </c>
      <c r="B24" s="636">
        <f t="shared" si="0"/>
        <v>0.42921576026646741</v>
      </c>
      <c r="C24" s="637">
        <f t="shared" si="1"/>
        <v>0</v>
      </c>
      <c r="D24" s="637">
        <f t="shared" si="6"/>
        <v>-4.3124342035353038</v>
      </c>
      <c r="E24" s="632">
        <f t="shared" si="7"/>
        <v>-4.4349086906744626</v>
      </c>
      <c r="F24" s="636">
        <f t="shared" si="2"/>
        <v>-1.5349908458169899</v>
      </c>
      <c r="G24" s="637">
        <f t="shared" si="8"/>
        <v>-4.3124342035353038</v>
      </c>
      <c r="H24" s="632">
        <f t="shared" si="9"/>
        <v>-4.4349086906744626</v>
      </c>
      <c r="I24" s="636">
        <f t="shared" si="3"/>
        <v>0</v>
      </c>
      <c r="J24" s="638">
        <f t="shared" si="4"/>
        <v>-1.1057750855505224</v>
      </c>
    </row>
    <row r="25" spans="1:13" x14ac:dyDescent="0.25">
      <c r="A25" s="635">
        <f t="shared" si="5"/>
        <v>71.5</v>
      </c>
      <c r="B25" s="636">
        <f t="shared" si="0"/>
        <v>0.42921576026646741</v>
      </c>
      <c r="C25" s="637">
        <f t="shared" si="1"/>
        <v>0</v>
      </c>
      <c r="D25" s="637">
        <f t="shared" si="6"/>
        <v>-4.1393189029869344</v>
      </c>
      <c r="E25" s="632">
        <f t="shared" si="7"/>
        <v>-4.2617933901260932</v>
      </c>
      <c r="F25" s="636">
        <f t="shared" si="2"/>
        <v>-1.5349725496215723</v>
      </c>
      <c r="G25" s="637">
        <f t="shared" si="8"/>
        <v>-4.1393189029869344</v>
      </c>
      <c r="H25" s="632">
        <f t="shared" si="9"/>
        <v>-4.2617933901260932</v>
      </c>
      <c r="I25" s="636">
        <f t="shared" si="3"/>
        <v>0</v>
      </c>
      <c r="J25" s="638">
        <f t="shared" si="4"/>
        <v>-1.1057567893551048</v>
      </c>
      <c r="M25" s="63"/>
    </row>
    <row r="26" spans="1:13" x14ac:dyDescent="0.25">
      <c r="A26" s="635">
        <f t="shared" si="5"/>
        <v>73</v>
      </c>
      <c r="B26" s="636">
        <f t="shared" si="0"/>
        <v>0.42921576026646741</v>
      </c>
      <c r="C26" s="637">
        <f t="shared" si="1"/>
        <v>0</v>
      </c>
      <c r="D26" s="637">
        <f t="shared" si="6"/>
        <v>-3.9697979526780047</v>
      </c>
      <c r="E26" s="632">
        <f t="shared" si="7"/>
        <v>-4.0922724398171635</v>
      </c>
      <c r="F26" s="636">
        <f t="shared" si="2"/>
        <v>-1.5349340438676036</v>
      </c>
      <c r="G26" s="637">
        <f t="shared" si="8"/>
        <v>-3.9697979526780047</v>
      </c>
      <c r="H26" s="632">
        <f t="shared" si="9"/>
        <v>-4.0922724398171635</v>
      </c>
      <c r="I26" s="636">
        <f t="shared" si="3"/>
        <v>0</v>
      </c>
      <c r="J26" s="638">
        <f t="shared" si="4"/>
        <v>-1.1057182836011361</v>
      </c>
    </row>
    <row r="27" spans="1:13" x14ac:dyDescent="0.25">
      <c r="A27" s="635">
        <f t="shared" si="5"/>
        <v>74.5</v>
      </c>
      <c r="B27" s="636">
        <f t="shared" si="0"/>
        <v>0.42921576026646741</v>
      </c>
      <c r="C27" s="637">
        <f t="shared" si="1"/>
        <v>0</v>
      </c>
      <c r="D27" s="637">
        <f t="shared" si="6"/>
        <v>-3.8037251263104008</v>
      </c>
      <c r="E27" s="632">
        <f t="shared" si="7"/>
        <v>-3.9261996134495596</v>
      </c>
      <c r="F27" s="636">
        <f t="shared" si="2"/>
        <v>-1.5348563546074367</v>
      </c>
      <c r="G27" s="637">
        <f t="shared" si="8"/>
        <v>-3.8037251263104008</v>
      </c>
      <c r="H27" s="632">
        <f t="shared" si="9"/>
        <v>-3.9261996134495596</v>
      </c>
      <c r="I27" s="636">
        <f t="shared" si="3"/>
        <v>0</v>
      </c>
      <c r="J27" s="638">
        <f t="shared" si="4"/>
        <v>-1.1056405943409693</v>
      </c>
    </row>
    <row r="28" spans="1:13" x14ac:dyDescent="0.25">
      <c r="A28" s="635">
        <f t="shared" si="5"/>
        <v>76</v>
      </c>
      <c r="B28" s="636">
        <f t="shared" si="0"/>
        <v>0.42921576026646741</v>
      </c>
      <c r="C28" s="637">
        <f t="shared" si="1"/>
        <v>0</v>
      </c>
      <c r="D28" s="637">
        <f t="shared" si="6"/>
        <v>-3.6409629432104436</v>
      </c>
      <c r="E28" s="632">
        <f t="shared" si="7"/>
        <v>-3.7634374303496023</v>
      </c>
      <c r="F28" s="636">
        <f t="shared" si="2"/>
        <v>-1.5347057399555664</v>
      </c>
      <c r="G28" s="637">
        <f t="shared" si="8"/>
        <v>-3.6409629432104436</v>
      </c>
      <c r="H28" s="632">
        <f t="shared" si="9"/>
        <v>-3.7634374303496023</v>
      </c>
      <c r="I28" s="636">
        <f t="shared" si="3"/>
        <v>0</v>
      </c>
      <c r="J28" s="638">
        <f t="shared" si="4"/>
        <v>-1.1054899796890989</v>
      </c>
    </row>
    <row r="29" spans="1:13" x14ac:dyDescent="0.25">
      <c r="A29" s="635">
        <f t="shared" si="5"/>
        <v>77.5</v>
      </c>
      <c r="B29" s="636">
        <f t="shared" si="0"/>
        <v>0.42921576026646741</v>
      </c>
      <c r="C29" s="637">
        <f t="shared" si="1"/>
        <v>0</v>
      </c>
      <c r="D29" s="637">
        <f t="shared" si="6"/>
        <v>-3.4813819845185066</v>
      </c>
      <c r="E29" s="632">
        <f t="shared" si="7"/>
        <v>-3.6038564716576653</v>
      </c>
      <c r="F29" s="636">
        <f t="shared" si="2"/>
        <v>-1.5344245639665848</v>
      </c>
      <c r="G29" s="637">
        <f t="shared" si="8"/>
        <v>-3.4813819845185066</v>
      </c>
      <c r="H29" s="632">
        <f t="shared" si="9"/>
        <v>-3.6038564716576653</v>
      </c>
      <c r="I29" s="636">
        <f t="shared" si="3"/>
        <v>0</v>
      </c>
      <c r="J29" s="638">
        <f t="shared" si="4"/>
        <v>-1.1052088037001173</v>
      </c>
    </row>
    <row r="30" spans="1:13" x14ac:dyDescent="0.25">
      <c r="A30" s="635">
        <f t="shared" si="5"/>
        <v>79</v>
      </c>
      <c r="B30" s="636">
        <f t="shared" si="0"/>
        <v>0.42921576026646741</v>
      </c>
      <c r="C30" s="637">
        <f t="shared" si="1"/>
        <v>0</v>
      </c>
      <c r="D30" s="637">
        <f t="shared" si="6"/>
        <v>-3.324860274932258</v>
      </c>
      <c r="E30" s="632">
        <f t="shared" si="7"/>
        <v>-3.4473347620714168</v>
      </c>
      <c r="F30" s="636">
        <f t="shared" si="2"/>
        <v>-1.5339180783320554</v>
      </c>
      <c r="G30" s="637">
        <f t="shared" si="8"/>
        <v>-3.324860274932258</v>
      </c>
      <c r="H30" s="632">
        <f t="shared" si="9"/>
        <v>-3.4473347620714168</v>
      </c>
      <c r="I30" s="636">
        <f t="shared" si="3"/>
        <v>0</v>
      </c>
      <c r="J30" s="638">
        <f t="shared" si="4"/>
        <v>-1.1047023180655879</v>
      </c>
    </row>
    <row r="31" spans="1:13" x14ac:dyDescent="0.25">
      <c r="A31" s="635">
        <f t="shared" si="5"/>
        <v>80.5</v>
      </c>
      <c r="B31" s="636">
        <f t="shared" si="0"/>
        <v>0.42921576026646741</v>
      </c>
      <c r="C31" s="637">
        <f t="shared" si="1"/>
        <v>0</v>
      </c>
      <c r="D31" s="637">
        <f t="shared" si="6"/>
        <v>-3.1712827226039564</v>
      </c>
      <c r="E31" s="632">
        <f t="shared" si="7"/>
        <v>-3.2937572097431151</v>
      </c>
      <c r="F31" s="636">
        <f t="shared" si="2"/>
        <v>-1.5330361132011021</v>
      </c>
      <c r="G31" s="637">
        <f t="shared" si="8"/>
        <v>-3.1712827226039564</v>
      </c>
      <c r="H31" s="632">
        <f t="shared" si="9"/>
        <v>-3.2937572097431151</v>
      </c>
      <c r="I31" s="636">
        <f t="shared" si="3"/>
        <v>0</v>
      </c>
      <c r="J31" s="638">
        <f t="shared" si="4"/>
        <v>-1.1038203529346347</v>
      </c>
    </row>
    <row r="32" spans="1:13" x14ac:dyDescent="0.25">
      <c r="A32" s="635">
        <f t="shared" si="5"/>
        <v>82</v>
      </c>
      <c r="B32" s="636">
        <f t="shared" si="0"/>
        <v>0.42921576026646741</v>
      </c>
      <c r="C32" s="637">
        <f t="shared" si="1"/>
        <v>0</v>
      </c>
      <c r="D32" s="637">
        <f t="shared" si="6"/>
        <v>-3.0205406107487875</v>
      </c>
      <c r="E32" s="632">
        <f t="shared" si="7"/>
        <v>-3.1430150978879463</v>
      </c>
      <c r="F32" s="636">
        <f t="shared" si="2"/>
        <v>-1.53154881659191</v>
      </c>
      <c r="G32" s="637">
        <f t="shared" si="8"/>
        <v>-3.0205406107487875</v>
      </c>
      <c r="H32" s="632">
        <f t="shared" si="9"/>
        <v>-3.1430150978879463</v>
      </c>
      <c r="I32" s="636">
        <f t="shared" si="3"/>
        <v>0</v>
      </c>
      <c r="J32" s="638">
        <f t="shared" si="4"/>
        <v>-1.1023330563254425</v>
      </c>
    </row>
    <row r="33" spans="1:10" x14ac:dyDescent="0.25">
      <c r="A33" s="635">
        <f t="shared" si="5"/>
        <v>83.5</v>
      </c>
      <c r="B33" s="636">
        <f t="shared" si="0"/>
        <v>0.42921576026646741</v>
      </c>
      <c r="C33" s="637">
        <f t="shared" si="1"/>
        <v>0</v>
      </c>
      <c r="D33" s="637">
        <f t="shared" si="6"/>
        <v>-2.8725311353389427</v>
      </c>
      <c r="E33" s="632">
        <f t="shared" si="7"/>
        <v>-2.9950056224781014</v>
      </c>
      <c r="F33" s="636">
        <f t="shared" si="2"/>
        <v>-1.5291159103619862</v>
      </c>
      <c r="G33" s="637">
        <f t="shared" si="8"/>
        <v>-2.8725311353389427</v>
      </c>
      <c r="H33" s="632">
        <f t="shared" si="9"/>
        <v>-2.9950056224781014</v>
      </c>
      <c r="I33" s="636">
        <f t="shared" si="3"/>
        <v>0</v>
      </c>
      <c r="J33" s="638">
        <f t="shared" si="4"/>
        <v>-1.0999001500955188</v>
      </c>
    </row>
    <row r="34" spans="1:10" x14ac:dyDescent="0.25">
      <c r="A34" s="635">
        <f t="shared" si="5"/>
        <v>85</v>
      </c>
      <c r="B34" s="636">
        <f t="shared" si="0"/>
        <v>0.42921576026646741</v>
      </c>
      <c r="C34" s="637">
        <f t="shared" si="1"/>
        <v>0</v>
      </c>
      <c r="D34" s="637">
        <f t="shared" si="6"/>
        <v>-2.7271569839593446</v>
      </c>
      <c r="E34" s="632">
        <f t="shared" si="7"/>
        <v>-2.8496314710985033</v>
      </c>
      <c r="F34" s="636">
        <f t="shared" si="2"/>
        <v>-1.5252494683026097</v>
      </c>
      <c r="G34" s="637">
        <f t="shared" si="8"/>
        <v>-2.7271569839593446</v>
      </c>
      <c r="H34" s="632">
        <f t="shared" si="9"/>
        <v>-2.8496314710985033</v>
      </c>
      <c r="I34" s="636">
        <f t="shared" si="3"/>
        <v>0</v>
      </c>
      <c r="J34" s="638">
        <f t="shared" si="4"/>
        <v>-1.0960337080361422</v>
      </c>
    </row>
    <row r="35" spans="1:10" x14ac:dyDescent="0.25">
      <c r="A35" s="635">
        <f t="shared" si="5"/>
        <v>86.5</v>
      </c>
      <c r="B35" s="636">
        <f t="shared" si="0"/>
        <v>0.42921576026646741</v>
      </c>
      <c r="C35" s="637">
        <f t="shared" si="1"/>
        <v>0</v>
      </c>
      <c r="D35" s="637">
        <f t="shared" si="6"/>
        <v>-2.5843259515040633</v>
      </c>
      <c r="E35" s="632">
        <f t="shared" si="7"/>
        <v>-2.7068004386432221</v>
      </c>
      <c r="F35" s="636">
        <f t="shared" si="2"/>
        <v>-1.519270954754576</v>
      </c>
      <c r="G35" s="637">
        <f t="shared" si="8"/>
        <v>-2.5843259515040633</v>
      </c>
      <c r="H35" s="632">
        <f t="shared" si="9"/>
        <v>-2.7068004386432221</v>
      </c>
      <c r="I35" s="636">
        <f t="shared" si="3"/>
        <v>0</v>
      </c>
      <c r="J35" s="638">
        <f t="shared" si="4"/>
        <v>-1.0900551944881085</v>
      </c>
    </row>
    <row r="36" spans="1:10" x14ac:dyDescent="0.25">
      <c r="A36" s="635">
        <f t="shared" si="5"/>
        <v>88</v>
      </c>
      <c r="B36" s="636">
        <f t="shared" si="0"/>
        <v>0.42921576026646741</v>
      </c>
      <c r="C36" s="637">
        <f t="shared" si="1"/>
        <v>0</v>
      </c>
      <c r="D36" s="637">
        <f t="shared" si="6"/>
        <v>-2.4439505889125201</v>
      </c>
      <c r="E36" s="632">
        <f t="shared" si="7"/>
        <v>-2.5664250760516789</v>
      </c>
      <c r="F36" s="636">
        <f t="shared" si="2"/>
        <v>-1.5102641375013235</v>
      </c>
      <c r="G36" s="637">
        <f t="shared" si="8"/>
        <v>-2.4439505889125201</v>
      </c>
      <c r="H36" s="632">
        <f t="shared" si="9"/>
        <v>-2.5664250760516789</v>
      </c>
      <c r="I36" s="636">
        <f t="shared" si="3"/>
        <v>0</v>
      </c>
      <c r="J36" s="638">
        <f t="shared" si="4"/>
        <v>-1.081048377234856</v>
      </c>
    </row>
    <row r="37" spans="1:10" x14ac:dyDescent="0.25">
      <c r="A37" s="635">
        <f t="shared" si="5"/>
        <v>89.5</v>
      </c>
      <c r="B37" s="636">
        <f t="shared" si="0"/>
        <v>0.42921576026646741</v>
      </c>
      <c r="C37" s="637">
        <f t="shared" si="1"/>
        <v>0</v>
      </c>
      <c r="D37" s="637">
        <f t="shared" si="6"/>
        <v>-2.3059478815943906</v>
      </c>
      <c r="E37" s="632">
        <f t="shared" si="7"/>
        <v>-2.4284223687335493</v>
      </c>
      <c r="F37" s="636">
        <f t="shared" si="2"/>
        <v>-1.4970264158662232</v>
      </c>
      <c r="G37" s="637">
        <f t="shared" si="8"/>
        <v>-2.3059478815943906</v>
      </c>
      <c r="H37" s="632">
        <f t="shared" si="9"/>
        <v>-2.4284223687335493</v>
      </c>
      <c r="I37" s="636">
        <f t="shared" si="3"/>
        <v>0</v>
      </c>
      <c r="J37" s="638">
        <f t="shared" si="4"/>
        <v>-1.0678106555997557</v>
      </c>
    </row>
    <row r="38" spans="1:10" x14ac:dyDescent="0.25">
      <c r="A38" s="635">
        <f t="shared" si="5"/>
        <v>91</v>
      </c>
      <c r="B38" s="636">
        <f t="shared" si="0"/>
        <v>0.42921576026646741</v>
      </c>
      <c r="C38" s="637">
        <f t="shared" si="1"/>
        <v>0</v>
      </c>
      <c r="D38" s="637">
        <f t="shared" si="6"/>
        <v>-2.1702389545820644</v>
      </c>
      <c r="E38" s="632">
        <f t="shared" si="7"/>
        <v>-2.2927134417212232</v>
      </c>
      <c r="F38" s="636">
        <f t="shared" si="2"/>
        <v>-1.4780219641601762</v>
      </c>
      <c r="G38" s="637">
        <f t="shared" si="8"/>
        <v>-2.1702389545820644</v>
      </c>
      <c r="H38" s="632">
        <f t="shared" si="9"/>
        <v>-2.2927134417212232</v>
      </c>
      <c r="I38" s="636">
        <f t="shared" si="3"/>
        <v>0</v>
      </c>
      <c r="J38" s="638">
        <f t="shared" si="4"/>
        <v>-1.0488062038937087</v>
      </c>
    </row>
    <row r="39" spans="1:10" x14ac:dyDescent="0.25">
      <c r="A39" s="635">
        <f t="shared" si="5"/>
        <v>92.5</v>
      </c>
      <c r="B39" s="636">
        <f t="shared" si="0"/>
        <v>0.42921576026646741</v>
      </c>
      <c r="C39" s="637">
        <f t="shared" si="1"/>
        <v>0</v>
      </c>
      <c r="D39" s="637">
        <f t="shared" si="6"/>
        <v>-2.0367488017884194</v>
      </c>
      <c r="E39" s="632">
        <f t="shared" si="7"/>
        <v>-2.1592232889275782</v>
      </c>
      <c r="F39" s="636">
        <f t="shared" si="2"/>
        <v>-1.4513407493819488</v>
      </c>
      <c r="G39" s="637">
        <f t="shared" si="8"/>
        <v>-2.0367488017884194</v>
      </c>
      <c r="H39" s="632">
        <f t="shared" si="9"/>
        <v>-2.1592232889275782</v>
      </c>
      <c r="I39" s="636">
        <f t="shared" si="3"/>
        <v>0</v>
      </c>
      <c r="J39" s="638">
        <f t="shared" si="4"/>
        <v>-1.0221249891154813</v>
      </c>
    </row>
    <row r="40" spans="1:10" x14ac:dyDescent="0.25">
      <c r="A40" s="635">
        <f t="shared" si="5"/>
        <v>94</v>
      </c>
      <c r="B40" s="636">
        <f t="shared" si="0"/>
        <v>0.42921576026646741</v>
      </c>
      <c r="C40" s="637">
        <f t="shared" si="1"/>
        <v>0</v>
      </c>
      <c r="D40" s="637">
        <f t="shared" si="6"/>
        <v>-1.9054060370430828</v>
      </c>
      <c r="E40" s="632">
        <f t="shared" si="7"/>
        <v>-2.0278805241822417</v>
      </c>
      <c r="F40" s="636">
        <f t="shared" si="2"/>
        <v>-1.4146678161248372</v>
      </c>
      <c r="G40" s="637">
        <f t="shared" si="8"/>
        <v>-1.9054060370430828</v>
      </c>
      <c r="H40" s="632">
        <f t="shared" si="9"/>
        <v>-2.0278805241822417</v>
      </c>
      <c r="I40" s="636">
        <f t="shared" si="3"/>
        <v>0</v>
      </c>
      <c r="J40" s="638">
        <f t="shared" si="4"/>
        <v>-0.9854520558583697</v>
      </c>
    </row>
    <row r="41" spans="1:10" x14ac:dyDescent="0.25">
      <c r="A41" s="635">
        <f t="shared" si="5"/>
        <v>95.5</v>
      </c>
      <c r="B41" s="636">
        <f t="shared" si="0"/>
        <v>0.42921576026646741</v>
      </c>
      <c r="C41" s="637">
        <f t="shared" si="1"/>
        <v>0</v>
      </c>
      <c r="D41" s="637">
        <f t="shared" si="6"/>
        <v>-1.7761426648381233</v>
      </c>
      <c r="E41" s="632">
        <f t="shared" si="7"/>
        <v>-1.8986171519772823</v>
      </c>
      <c r="F41" s="636">
        <f t="shared" si="2"/>
        <v>-1.3652671468438968</v>
      </c>
      <c r="G41" s="637">
        <f t="shared" si="8"/>
        <v>-1.7761426648381233</v>
      </c>
      <c r="H41" s="632">
        <f t="shared" si="9"/>
        <v>-1.8986171519772823</v>
      </c>
      <c r="I41" s="636">
        <f t="shared" si="3"/>
        <v>0</v>
      </c>
      <c r="J41" s="638">
        <f t="shared" si="4"/>
        <v>-0.93605138657742937</v>
      </c>
    </row>
    <row r="42" spans="1:10" x14ac:dyDescent="0.25">
      <c r="A42" s="635">
        <f t="shared" si="5"/>
        <v>97</v>
      </c>
      <c r="B42" s="636">
        <f t="shared" si="0"/>
        <v>0.42921576026646741</v>
      </c>
      <c r="C42" s="637">
        <f t="shared" si="1"/>
        <v>0</v>
      </c>
      <c r="D42" s="637">
        <f t="shared" si="6"/>
        <v>-1.6488938689399986</v>
      </c>
      <c r="E42" s="632">
        <f t="shared" si="7"/>
        <v>-1.7713683560791575</v>
      </c>
      <c r="F42" s="636">
        <f t="shared" si="2"/>
        <v>-1.299983856251024</v>
      </c>
      <c r="G42" s="637">
        <f t="shared" si="8"/>
        <v>-1.6488938689399986</v>
      </c>
      <c r="H42" s="632">
        <f t="shared" si="9"/>
        <v>-1.7713683560791575</v>
      </c>
      <c r="I42" s="636">
        <f t="shared" si="3"/>
        <v>0</v>
      </c>
      <c r="J42" s="638">
        <f t="shared" si="4"/>
        <v>-0.87076809598455651</v>
      </c>
    </row>
    <row r="43" spans="1:10" x14ac:dyDescent="0.25">
      <c r="A43" s="635">
        <f t="shared" si="5"/>
        <v>98.5</v>
      </c>
      <c r="B43" s="636">
        <f t="shared" si="0"/>
        <v>0.42921576026646741</v>
      </c>
      <c r="C43" s="637">
        <f t="shared" si="1"/>
        <v>0</v>
      </c>
      <c r="D43" s="637">
        <f t="shared" si="6"/>
        <v>-1.5235978172225151</v>
      </c>
      <c r="E43" s="632">
        <f t="shared" si="7"/>
        <v>-1.6460723043616741</v>
      </c>
      <c r="F43" s="636">
        <f t="shared" si="2"/>
        <v>-1.2152674783667408</v>
      </c>
      <c r="G43" s="637">
        <f t="shared" si="8"/>
        <v>-1.5235978172225151</v>
      </c>
      <c r="H43" s="632">
        <f t="shared" si="9"/>
        <v>-1.6460723043616741</v>
      </c>
      <c r="I43" s="636">
        <f t="shared" si="3"/>
        <v>0</v>
      </c>
      <c r="J43" s="638">
        <f t="shared" si="4"/>
        <v>-0.7860517181002733</v>
      </c>
    </row>
    <row r="44" spans="1:10" x14ac:dyDescent="0.25">
      <c r="A44" s="635">
        <f t="shared" si="5"/>
        <v>100</v>
      </c>
      <c r="B44" s="636">
        <f t="shared" si="0"/>
        <v>0.42921576026646741</v>
      </c>
      <c r="C44" s="637">
        <f t="shared" si="1"/>
        <v>0</v>
      </c>
      <c r="D44" s="637">
        <f t="shared" si="6"/>
        <v>-1.4001954812496711</v>
      </c>
      <c r="E44" s="632">
        <f t="shared" si="7"/>
        <v>-1.5226699683888301</v>
      </c>
      <c r="F44" s="636">
        <f t="shared" si="2"/>
        <v>-1.1072177283935583</v>
      </c>
      <c r="G44" s="637">
        <f t="shared" si="8"/>
        <v>-1.4001954812496711</v>
      </c>
      <c r="H44" s="632">
        <f t="shared" si="9"/>
        <v>-1.5226699683888301</v>
      </c>
      <c r="I44" s="636">
        <f t="shared" si="3"/>
        <v>0</v>
      </c>
      <c r="J44" s="638">
        <f t="shared" si="4"/>
        <v>-0.67800196812709079</v>
      </c>
    </row>
    <row r="45" spans="1:10" x14ac:dyDescent="0.25">
      <c r="A45" s="635">
        <f t="shared" si="5"/>
        <v>101.5</v>
      </c>
      <c r="B45" s="636">
        <f t="shared" si="0"/>
        <v>0.42921576026646741</v>
      </c>
      <c r="C45" s="637">
        <f t="shared" si="1"/>
        <v>0</v>
      </c>
      <c r="D45" s="637">
        <f t="shared" si="6"/>
        <v>-1.2786304692906192</v>
      </c>
      <c r="E45" s="632">
        <f t="shared" si="7"/>
        <v>-1.4011049564297782</v>
      </c>
      <c r="F45" s="636">
        <f t="shared" si="2"/>
        <v>-0.97165249637883377</v>
      </c>
      <c r="G45" s="637">
        <f t="shared" si="8"/>
        <v>-1.2786304692906192</v>
      </c>
      <c r="H45" s="632">
        <f t="shared" si="9"/>
        <v>-1.4011049564297782</v>
      </c>
      <c r="I45" s="636">
        <f t="shared" si="3"/>
        <v>0</v>
      </c>
      <c r="J45" s="638">
        <f t="shared" si="4"/>
        <v>-0.54243673611236631</v>
      </c>
    </row>
    <row r="46" spans="1:10" x14ac:dyDescent="0.25">
      <c r="A46" s="635">
        <f t="shared" si="5"/>
        <v>103</v>
      </c>
      <c r="B46" s="636">
        <f t="shared" si="0"/>
        <v>0.42921576026646741</v>
      </c>
      <c r="C46" s="637">
        <f t="shared" si="1"/>
        <v>0</v>
      </c>
      <c r="D46" s="637">
        <f t="shared" si="6"/>
        <v>-1.1588488715842737</v>
      </c>
      <c r="E46" s="632">
        <f t="shared" si="7"/>
        <v>-1.2813233587234327</v>
      </c>
      <c r="F46" s="636">
        <f t="shared" si="2"/>
        <v>-0.80419611864504681</v>
      </c>
      <c r="G46" s="637">
        <f t="shared" si="8"/>
        <v>-1.1588488715842737</v>
      </c>
      <c r="H46" s="632">
        <f t="shared" si="9"/>
        <v>-1.2813233587234327</v>
      </c>
      <c r="I46" s="636">
        <f t="shared" si="3"/>
        <v>0</v>
      </c>
      <c r="J46" s="638">
        <f t="shared" si="4"/>
        <v>-0.3749803583785794</v>
      </c>
    </row>
    <row r="47" spans="1:10" x14ac:dyDescent="0.25">
      <c r="A47" s="635">
        <f t="shared" si="5"/>
        <v>104.5</v>
      </c>
      <c r="B47" s="636">
        <f t="shared" si="0"/>
        <v>0.42921576026646741</v>
      </c>
      <c r="C47" s="637">
        <f t="shared" si="1"/>
        <v>0</v>
      </c>
      <c r="D47" s="637">
        <f t="shared" si="6"/>
        <v>-1.0407991167908339</v>
      </c>
      <c r="E47" s="632">
        <f t="shared" si="7"/>
        <v>-1.1632736039299929</v>
      </c>
      <c r="F47" s="636">
        <f t="shared" si="2"/>
        <v>-0.60038435280415747</v>
      </c>
      <c r="G47" s="637">
        <f t="shared" si="8"/>
        <v>-1.0407991167908339</v>
      </c>
      <c r="H47" s="632">
        <f t="shared" si="9"/>
        <v>-1.1632736039299929</v>
      </c>
      <c r="I47" s="636">
        <f t="shared" si="3"/>
        <v>0</v>
      </c>
      <c r="J47" s="638">
        <f t="shared" si="4"/>
        <v>-0.17116859253769007</v>
      </c>
    </row>
    <row r="48" spans="1:10" x14ac:dyDescent="0.25">
      <c r="A48" s="635">
        <f t="shared" si="5"/>
        <v>106</v>
      </c>
      <c r="B48" s="636">
        <f t="shared" si="0"/>
        <v>0.42921576026646741</v>
      </c>
      <c r="C48" s="637">
        <f t="shared" si="1"/>
        <v>0</v>
      </c>
      <c r="D48" s="637">
        <f t="shared" si="6"/>
        <v>-0.92443183867349144</v>
      </c>
      <c r="E48" s="632">
        <f t="shared" si="7"/>
        <v>-1.0469063258126503</v>
      </c>
      <c r="F48" s="636">
        <f t="shared" si="2"/>
        <v>-0.35578111940619372</v>
      </c>
      <c r="G48" s="637">
        <f t="shared" si="8"/>
        <v>-0.92443183867349144</v>
      </c>
      <c r="H48" s="632">
        <f t="shared" si="9"/>
        <v>-1.0469063258126503</v>
      </c>
      <c r="I48" s="636">
        <f t="shared" si="3"/>
        <v>0</v>
      </c>
      <c r="J48" s="638">
        <f t="shared" si="4"/>
        <v>7.3434640860273681E-2</v>
      </c>
    </row>
    <row r="49" spans="1:10" x14ac:dyDescent="0.25">
      <c r="A49" s="635">
        <f t="shared" si="5"/>
        <v>107.5</v>
      </c>
      <c r="B49" s="636">
        <f t="shared" si="0"/>
        <v>0.42921576026646741</v>
      </c>
      <c r="C49" s="637">
        <f t="shared" si="1"/>
        <v>0</v>
      </c>
      <c r="D49" s="637">
        <f t="shared" si="6"/>
        <v>-0.80969975214771217</v>
      </c>
      <c r="E49" s="632">
        <f t="shared" si="7"/>
        <v>-0.93217423928687104</v>
      </c>
      <c r="F49" s="636">
        <f t="shared" si="2"/>
        <v>-6.6101103164458053E-2</v>
      </c>
      <c r="G49" s="637">
        <f t="shared" si="8"/>
        <v>-0.80969975214771217</v>
      </c>
      <c r="H49" s="632">
        <f t="shared" si="9"/>
        <v>-0.93217423928687104</v>
      </c>
      <c r="I49" s="636">
        <f t="shared" si="3"/>
        <v>0</v>
      </c>
      <c r="J49" s="638">
        <f t="shared" si="4"/>
        <v>0.36311465710200935</v>
      </c>
    </row>
    <row r="50" spans="1:10" x14ac:dyDescent="0.25">
      <c r="A50" s="635">
        <f t="shared" si="5"/>
        <v>109</v>
      </c>
      <c r="B50" s="636">
        <f t="shared" si="0"/>
        <v>0.42921576026646741</v>
      </c>
      <c r="C50" s="637">
        <f t="shared" si="1"/>
        <v>0</v>
      </c>
      <c r="D50" s="637">
        <f t="shared" si="6"/>
        <v>-0.69655753791919772</v>
      </c>
      <c r="E50" s="632">
        <f t="shared" si="7"/>
        <v>-0.81903202505835659</v>
      </c>
      <c r="F50" s="636">
        <f t="shared" si="2"/>
        <v>0.27266818249198899</v>
      </c>
      <c r="G50" s="637">
        <f t="shared" si="8"/>
        <v>-0.69655753791919772</v>
      </c>
      <c r="H50" s="632">
        <f t="shared" si="9"/>
        <v>-0.81903202505835659</v>
      </c>
      <c r="I50" s="636">
        <f t="shared" si="3"/>
        <v>0</v>
      </c>
      <c r="J50" s="638">
        <f t="shared" si="4"/>
        <v>0.70188394275845645</v>
      </c>
    </row>
    <row r="51" spans="1:10" x14ac:dyDescent="0.25">
      <c r="A51" s="635">
        <f t="shared" si="5"/>
        <v>110.5</v>
      </c>
      <c r="B51" s="636">
        <f t="shared" si="0"/>
        <v>0.42921576026646741</v>
      </c>
      <c r="C51" s="637">
        <f t="shared" si="1"/>
        <v>0</v>
      </c>
      <c r="D51" s="637">
        <f t="shared" si="6"/>
        <v>-0.58496173500610438</v>
      </c>
      <c r="E51" s="632">
        <f t="shared" si="7"/>
        <v>-0.70743622214526325</v>
      </c>
      <c r="F51" s="636">
        <f t="shared" si="2"/>
        <v>0.66415123904579509</v>
      </c>
      <c r="G51" s="637">
        <f t="shared" si="8"/>
        <v>-0.58496173500610438</v>
      </c>
      <c r="H51" s="632">
        <f t="shared" si="9"/>
        <v>-0.70743622214526325</v>
      </c>
      <c r="I51" s="636">
        <f t="shared" si="3"/>
        <v>0</v>
      </c>
      <c r="J51" s="638">
        <f t="shared" si="4"/>
        <v>1.0933669993122626</v>
      </c>
    </row>
    <row r="52" spans="1:10" x14ac:dyDescent="0.25">
      <c r="A52" s="635">
        <f t="shared" si="5"/>
        <v>112</v>
      </c>
      <c r="B52" s="636">
        <f t="shared" si="0"/>
        <v>0.42921576026646741</v>
      </c>
      <c r="C52" s="637">
        <f t="shared" si="1"/>
        <v>0</v>
      </c>
      <c r="D52" s="637">
        <f t="shared" si="6"/>
        <v>-0.47487064050764816</v>
      </c>
      <c r="E52" s="632">
        <f t="shared" si="7"/>
        <v>-0.59734512764680703</v>
      </c>
      <c r="F52" s="636">
        <f t="shared" si="2"/>
        <v>1.1114821900002756</v>
      </c>
      <c r="G52" s="637">
        <f t="shared" si="8"/>
        <v>-0.47487064050764816</v>
      </c>
      <c r="H52" s="632">
        <f t="shared" si="9"/>
        <v>-0.59734512764680703</v>
      </c>
      <c r="I52" s="636">
        <f t="shared" si="3"/>
        <v>0</v>
      </c>
      <c r="J52" s="638">
        <f t="shared" si="4"/>
        <v>1.5406979502667431</v>
      </c>
    </row>
    <row r="53" spans="1:10" x14ac:dyDescent="0.25">
      <c r="A53" s="635">
        <f t="shared" si="5"/>
        <v>113.5</v>
      </c>
      <c r="B53" s="636">
        <f t="shared" si="0"/>
        <v>0.42921576026646741</v>
      </c>
      <c r="C53" s="637">
        <f t="shared" si="1"/>
        <v>0</v>
      </c>
      <c r="D53" s="637">
        <f t="shared" si="6"/>
        <v>-0.36624421604059615</v>
      </c>
      <c r="E53" s="632">
        <f t="shared" si="7"/>
        <v>-0.48871870317975508</v>
      </c>
      <c r="F53" s="636">
        <f t="shared" si="2"/>
        <v>1.6172200701153603</v>
      </c>
      <c r="G53" s="637">
        <f t="shared" si="8"/>
        <v>-0.36624421604059615</v>
      </c>
      <c r="H53" s="632">
        <f t="shared" si="9"/>
        <v>-0.48871870317975508</v>
      </c>
      <c r="I53" s="636">
        <f t="shared" si="3"/>
        <v>0</v>
      </c>
      <c r="J53" s="638">
        <f t="shared" si="4"/>
        <v>2.0464358303818275</v>
      </c>
    </row>
    <row r="54" spans="1:10" x14ac:dyDescent="0.25">
      <c r="A54" s="635">
        <f t="shared" si="5"/>
        <v>115</v>
      </c>
      <c r="B54" s="636">
        <f t="shared" si="0"/>
        <v>0.42921576026646741</v>
      </c>
      <c r="C54" s="637">
        <f t="shared" si="1"/>
        <v>0</v>
      </c>
      <c r="D54" s="637">
        <f t="shared" si="6"/>
        <v>-0.25904400031832164</v>
      </c>
      <c r="E54" s="632">
        <f t="shared" si="7"/>
        <v>-0.38151848745748052</v>
      </c>
      <c r="F54" s="636">
        <f t="shared" si="2"/>
        <v>2.1832854655363167</v>
      </c>
      <c r="G54" s="637">
        <f t="shared" si="8"/>
        <v>-0.25904400031832164</v>
      </c>
      <c r="H54" s="632">
        <f t="shared" si="9"/>
        <v>-0.38151848745748052</v>
      </c>
      <c r="I54" s="636">
        <f t="shared" si="3"/>
        <v>0</v>
      </c>
      <c r="J54" s="638">
        <f t="shared" si="4"/>
        <v>2.612501225802784</v>
      </c>
    </row>
    <row r="55" spans="1:10" x14ac:dyDescent="0.25">
      <c r="A55" s="635">
        <f t="shared" si="5"/>
        <v>116.5</v>
      </c>
      <c r="B55" s="636">
        <f t="shared" si="0"/>
        <v>0.42921576026646741</v>
      </c>
      <c r="C55" s="637">
        <f t="shared" si="1"/>
        <v>0</v>
      </c>
      <c r="D55" s="637">
        <f t="shared" si="6"/>
        <v>-0.15323302739478853</v>
      </c>
      <c r="E55" s="632">
        <f t="shared" si="7"/>
        <v>-0.27570751453394743</v>
      </c>
      <c r="F55" s="636">
        <f t="shared" si="2"/>
        <v>2.8109207385490027</v>
      </c>
      <c r="G55" s="637">
        <f t="shared" si="8"/>
        <v>-0.15323302739478853</v>
      </c>
      <c r="H55" s="632">
        <f t="shared" si="9"/>
        <v>-0.27570751453394743</v>
      </c>
      <c r="I55" s="636">
        <f t="shared" si="3"/>
        <v>0</v>
      </c>
      <c r="J55" s="638">
        <f t="shared" si="4"/>
        <v>3.2401364988154699</v>
      </c>
    </row>
    <row r="56" spans="1:10" x14ac:dyDescent="0.25">
      <c r="A56" s="635">
        <f t="shared" si="5"/>
        <v>118</v>
      </c>
      <c r="B56" s="636">
        <f t="shared" si="0"/>
        <v>0.42921576026646741</v>
      </c>
      <c r="C56" s="637">
        <f t="shared" si="1"/>
        <v>0</v>
      </c>
      <c r="D56" s="637">
        <f t="shared" si="6"/>
        <v>-4.8775750138560489E-2</v>
      </c>
      <c r="E56" s="632">
        <f t="shared" si="7"/>
        <v>-0.17125023727771937</v>
      </c>
      <c r="F56" s="636">
        <f t="shared" si="2"/>
        <v>3.5006745834690438</v>
      </c>
      <c r="G56" s="637">
        <f t="shared" si="8"/>
        <v>-4.8775750138560489E-2</v>
      </c>
      <c r="H56" s="632">
        <f t="shared" si="9"/>
        <v>-0.17125023727771937</v>
      </c>
      <c r="I56" s="636">
        <f t="shared" si="3"/>
        <v>0</v>
      </c>
      <c r="J56" s="638">
        <f t="shared" si="4"/>
        <v>3.929890343735511</v>
      </c>
    </row>
    <row r="57" spans="1:10" x14ac:dyDescent="0.25">
      <c r="A57" s="635">
        <f t="shared" si="5"/>
        <v>119.5</v>
      </c>
      <c r="B57" s="636">
        <f t="shared" si="0"/>
        <v>0.42921576026646741</v>
      </c>
      <c r="C57" s="637">
        <f t="shared" si="1"/>
        <v>0</v>
      </c>
      <c r="D57" s="637">
        <f t="shared" si="6"/>
        <v>5.4362031459562282E-2</v>
      </c>
      <c r="E57" s="632">
        <f t="shared" si="7"/>
        <v>-6.8112455679596617E-2</v>
      </c>
      <c r="F57" s="636">
        <f t="shared" si="2"/>
        <v>4.2524102441854073</v>
      </c>
      <c r="G57" s="637">
        <f t="shared" si="8"/>
        <v>5.4362031459562282E-2</v>
      </c>
      <c r="H57" s="632">
        <f t="shared" si="9"/>
        <v>-6.8112455679596617E-2</v>
      </c>
      <c r="I57" s="636">
        <f t="shared" si="3"/>
        <v>0</v>
      </c>
      <c r="J57" s="638">
        <f t="shared" si="4"/>
        <v>4.6816260044518749</v>
      </c>
    </row>
    <row r="58" spans="1:10" x14ac:dyDescent="0.25">
      <c r="A58" s="635">
        <f t="shared" si="5"/>
        <v>121</v>
      </c>
      <c r="B58" s="636">
        <f t="shared" si="0"/>
        <v>-0.57078423973353254</v>
      </c>
      <c r="C58" s="637">
        <f t="shared" si="1"/>
        <v>0</v>
      </c>
      <c r="D58" s="637">
        <f t="shared" si="6"/>
        <v>0.1562132375070894</v>
      </c>
      <c r="E58" s="632">
        <f t="shared" si="7"/>
        <v>3.3738750367930503E-2</v>
      </c>
      <c r="F58" s="636">
        <f t="shared" si="2"/>
        <v>5.0653354817624479</v>
      </c>
      <c r="G58" s="637">
        <f t="shared" si="8"/>
        <v>0.1562132375070894</v>
      </c>
      <c r="H58" s="632">
        <f t="shared" si="9"/>
        <v>3.3738750367930503E-2</v>
      </c>
      <c r="I58" s="636">
        <f t="shared" si="3"/>
        <v>0</v>
      </c>
      <c r="J58" s="638">
        <f t="shared" si="4"/>
        <v>4.4945512420289155</v>
      </c>
    </row>
    <row r="59" spans="1:10" x14ac:dyDescent="0.25">
      <c r="A59" s="635">
        <f t="shared" si="5"/>
        <v>122.5</v>
      </c>
      <c r="B59" s="636">
        <f t="shared" si="0"/>
        <v>-2.0707842397335328</v>
      </c>
      <c r="C59" s="637">
        <f t="shared" si="1"/>
        <v>0</v>
      </c>
      <c r="D59" s="637">
        <f t="shared" si="6"/>
        <v>0.2568095712891747</v>
      </c>
      <c r="E59" s="632">
        <f t="shared" si="7"/>
        <v>0.1343350841500158</v>
      </c>
      <c r="F59" s="636">
        <f t="shared" si="2"/>
        <v>5.9380513868011082</v>
      </c>
      <c r="G59" s="637">
        <f t="shared" si="8"/>
        <v>0.2568095712891747</v>
      </c>
      <c r="H59" s="632">
        <f t="shared" si="9"/>
        <v>0.1343350841500158</v>
      </c>
      <c r="I59" s="636">
        <f t="shared" si="3"/>
        <v>0</v>
      </c>
      <c r="J59" s="638">
        <f t="shared" si="4"/>
        <v>3.8672671470675755</v>
      </c>
    </row>
    <row r="60" spans="1:10" x14ac:dyDescent="0.25">
      <c r="A60" s="635">
        <f t="shared" si="5"/>
        <v>124</v>
      </c>
      <c r="B60" s="636">
        <f t="shared" si="0"/>
        <v>-3.5707842397335328</v>
      </c>
      <c r="C60" s="637">
        <f t="shared" si="1"/>
        <v>0</v>
      </c>
      <c r="D60" s="637">
        <f t="shared" si="6"/>
        <v>0.35618157850915078</v>
      </c>
      <c r="E60" s="632">
        <f t="shared" si="7"/>
        <v>0.23370709136999188</v>
      </c>
      <c r="F60" s="636">
        <f t="shared" si="2"/>
        <v>6.8686164293345531</v>
      </c>
      <c r="G60" s="637">
        <f t="shared" si="8"/>
        <v>0.35618157850915078</v>
      </c>
      <c r="H60" s="632">
        <f t="shared" si="9"/>
        <v>0.23370709136999188</v>
      </c>
      <c r="I60" s="636">
        <f t="shared" si="3"/>
        <v>0</v>
      </c>
      <c r="J60" s="638">
        <f t="shared" si="4"/>
        <v>3.2978321896010203</v>
      </c>
    </row>
    <row r="61" spans="1:10" x14ac:dyDescent="0.25">
      <c r="A61" s="635">
        <f t="shared" si="5"/>
        <v>125.5</v>
      </c>
      <c r="B61" s="636">
        <f t="shared" si="0"/>
        <v>-5.0707842397335323</v>
      </c>
      <c r="C61" s="637">
        <f t="shared" si="1"/>
        <v>0</v>
      </c>
      <c r="D61" s="637">
        <f t="shared" si="6"/>
        <v>0.45435870296723851</v>
      </c>
      <c r="E61" s="632">
        <f t="shared" si="7"/>
        <v>0.33188421582807959</v>
      </c>
      <c r="F61" s="636">
        <f t="shared" si="2"/>
        <v>7.8546217417863051</v>
      </c>
      <c r="G61" s="637">
        <f t="shared" si="8"/>
        <v>0.45435870296723851</v>
      </c>
      <c r="H61" s="632">
        <f t="shared" si="9"/>
        <v>0.33188421582807959</v>
      </c>
      <c r="I61" s="636">
        <f t="shared" si="3"/>
        <v>0</v>
      </c>
      <c r="J61" s="638">
        <f t="shared" si="4"/>
        <v>2.7838375020527728</v>
      </c>
    </row>
    <row r="62" spans="1:10" x14ac:dyDescent="0.25">
      <c r="A62" s="635">
        <f t="shared" si="5"/>
        <v>127</v>
      </c>
      <c r="B62" s="636">
        <f t="shared" si="0"/>
        <v>-6.5707842397335323</v>
      </c>
      <c r="C62" s="637">
        <f t="shared" si="1"/>
        <v>0</v>
      </c>
      <c r="D62" s="637">
        <f t="shared" si="6"/>
        <v>0.55136933893138651</v>
      </c>
      <c r="E62" s="632">
        <f t="shared" si="7"/>
        <v>0.42889485179222764</v>
      </c>
      <c r="F62" s="636">
        <f t="shared" si="2"/>
        <v>8.8932735241242415</v>
      </c>
      <c r="G62" s="637">
        <f t="shared" si="8"/>
        <v>0.55136933893138651</v>
      </c>
      <c r="H62" s="632">
        <f t="shared" si="9"/>
        <v>0.42889485179222764</v>
      </c>
      <c r="I62" s="636">
        <f t="shared" si="3"/>
        <v>0</v>
      </c>
      <c r="J62" s="638">
        <f t="shared" si="4"/>
        <v>2.3224892843907092</v>
      </c>
    </row>
    <row r="63" spans="1:10" x14ac:dyDescent="0.25">
      <c r="A63" s="635">
        <f t="shared" si="5"/>
        <v>128.5</v>
      </c>
      <c r="B63" s="636">
        <f t="shared" si="0"/>
        <v>-8.0707842397335323</v>
      </c>
      <c r="C63" s="637">
        <f t="shared" si="1"/>
        <v>0</v>
      </c>
      <c r="D63" s="637">
        <f t="shared" si="6"/>
        <v>0.64724088043326511</v>
      </c>
      <c r="E63" s="632">
        <f t="shared" si="7"/>
        <v>0.52476639329410624</v>
      </c>
      <c r="F63" s="636">
        <f t="shared" si="2"/>
        <v>9.9814786099996144</v>
      </c>
      <c r="G63" s="637">
        <f t="shared" si="8"/>
        <v>0.64724088043326511</v>
      </c>
      <c r="H63" s="632">
        <f t="shared" si="9"/>
        <v>0.52476639329410624</v>
      </c>
      <c r="I63" s="636">
        <f t="shared" si="3"/>
        <v>0</v>
      </c>
      <c r="J63" s="638">
        <f t="shared" si="4"/>
        <v>1.9106943702660821</v>
      </c>
    </row>
    <row r="64" spans="1:10" x14ac:dyDescent="0.25">
      <c r="A64" s="635">
        <f t="shared" si="5"/>
        <v>130</v>
      </c>
      <c r="B64" s="636">
        <f t="shared" si="0"/>
        <v>-9.5707842397335323</v>
      </c>
      <c r="C64" s="637">
        <f t="shared" si="1"/>
        <v>0</v>
      </c>
      <c r="D64" s="637">
        <f t="shared" si="6"/>
        <v>0.74199976770356935</v>
      </c>
      <c r="E64" s="632">
        <f t="shared" si="7"/>
        <v>0.61952528056441047</v>
      </c>
      <c r="F64" s="636">
        <f t="shared" si="2"/>
        <v>11.115929589341905</v>
      </c>
      <c r="G64" s="637">
        <f t="shared" si="8"/>
        <v>0.74199976770356935</v>
      </c>
      <c r="H64" s="632">
        <f t="shared" si="9"/>
        <v>0.61952528056441047</v>
      </c>
      <c r="I64" s="636">
        <f t="shared" si="3"/>
        <v>0</v>
      </c>
      <c r="J64" s="638">
        <f t="shared" si="4"/>
        <v>1.5451453496083722</v>
      </c>
    </row>
    <row r="65" spans="1:10" x14ac:dyDescent="0.25">
      <c r="A65" s="635">
        <f t="shared" si="5"/>
        <v>131.5</v>
      </c>
      <c r="B65" s="636">
        <f t="shared" si="0"/>
        <v>-11.070784239733532</v>
      </c>
      <c r="C65" s="637">
        <f t="shared" si="1"/>
        <v>0</v>
      </c>
      <c r="D65" s="637">
        <f t="shared" si="6"/>
        <v>0.83567153094354696</v>
      </c>
      <c r="E65" s="632">
        <f t="shared" si="7"/>
        <v>0.71319704380438809</v>
      </c>
      <c r="F65" s="636">
        <f t="shared" si="2"/>
        <v>12.293186390153354</v>
      </c>
      <c r="G65" s="637">
        <f t="shared" si="8"/>
        <v>0.83567153094354696</v>
      </c>
      <c r="H65" s="632">
        <f t="shared" si="9"/>
        <v>0.71319704380438809</v>
      </c>
      <c r="I65" s="636">
        <f t="shared" si="3"/>
        <v>0</v>
      </c>
      <c r="J65" s="638">
        <f t="shared" si="4"/>
        <v>1.2224021504198213</v>
      </c>
    </row>
    <row r="66" spans="1:10" x14ac:dyDescent="0.25">
      <c r="A66" s="635">
        <f t="shared" si="5"/>
        <v>133</v>
      </c>
      <c r="B66" s="636">
        <f t="shared" si="0"/>
        <v>-12.570784239733532</v>
      </c>
      <c r="C66" s="637">
        <f t="shared" si="1"/>
        <v>0</v>
      </c>
      <c r="D66" s="637">
        <f t="shared" si="6"/>
        <v>0.9282808316140374</v>
      </c>
      <c r="E66" s="632">
        <f t="shared" si="7"/>
        <v>0.80580634447487853</v>
      </c>
      <c r="F66" s="636">
        <f t="shared" si="2"/>
        <v>13.509751822421821</v>
      </c>
      <c r="G66" s="637">
        <f t="shared" si="8"/>
        <v>0.9282808316140374</v>
      </c>
      <c r="H66" s="632">
        <f t="shared" si="9"/>
        <v>0.80580634447487853</v>
      </c>
      <c r="I66" s="636">
        <f t="shared" si="3"/>
        <v>0</v>
      </c>
      <c r="J66" s="638">
        <f t="shared" si="4"/>
        <v>0.93896758268828862</v>
      </c>
    </row>
    <row r="67" spans="1:10" x14ac:dyDescent="0.25">
      <c r="A67" s="635">
        <f t="shared" si="5"/>
        <v>134.5</v>
      </c>
      <c r="B67" s="636">
        <f t="shared" si="0"/>
        <v>-14.070784239733532</v>
      </c>
      <c r="C67" s="637">
        <f t="shared" si="1"/>
        <v>0</v>
      </c>
      <c r="D67" s="637">
        <f t="shared" si="6"/>
        <v>1.0198515014091036</v>
      </c>
      <c r="E67" s="632">
        <f t="shared" si="7"/>
        <v>0.89737701426994476</v>
      </c>
      <c r="F67" s="636">
        <f t="shared" si="2"/>
        <v>14.762139226211632</v>
      </c>
      <c r="G67" s="637">
        <f t="shared" si="8"/>
        <v>1.0198515014091036</v>
      </c>
      <c r="H67" s="632">
        <f t="shared" si="9"/>
        <v>0.89737701426994476</v>
      </c>
      <c r="I67" s="636">
        <f t="shared" si="3"/>
        <v>0</v>
      </c>
      <c r="J67" s="638">
        <f t="shared" si="4"/>
        <v>0.69135498647809968</v>
      </c>
    </row>
    <row r="68" spans="1:10" x14ac:dyDescent="0.25">
      <c r="A68" s="635">
        <f t="shared" si="5"/>
        <v>136</v>
      </c>
      <c r="B68" s="636">
        <f t="shared" si="0"/>
        <v>-15.570784239733532</v>
      </c>
      <c r="C68" s="637">
        <f t="shared" si="1"/>
        <v>0</v>
      </c>
      <c r="D68" s="637">
        <f t="shared" si="6"/>
        <v>1.1104065790683113</v>
      </c>
      <c r="E68" s="632">
        <f t="shared" si="7"/>
        <v>0.98793209192915243</v>
      </c>
      <c r="F68" s="636">
        <f t="shared" si="2"/>
        <v>16.046930997534645</v>
      </c>
      <c r="G68" s="637">
        <f t="shared" si="8"/>
        <v>1.1104065790683113</v>
      </c>
      <c r="H68" s="632">
        <f t="shared" si="9"/>
        <v>0.98793209192915243</v>
      </c>
      <c r="I68" s="636">
        <f t="shared" si="3"/>
        <v>0</v>
      </c>
      <c r="J68" s="638">
        <f t="shared" si="4"/>
        <v>0.47614675780111249</v>
      </c>
    </row>
    <row r="69" spans="1:10" x14ac:dyDescent="0.25">
      <c r="A69" s="635">
        <f t="shared" si="5"/>
        <v>137.5</v>
      </c>
      <c r="B69" s="636">
        <f t="shared" ref="B69:B104" si="13">(MAX(IF($B$1="C",1,-1)*(A69-$O$5),0)-IF($O$10="Y",$O$13*EXP($O$6*$O$9),0))*$O$4</f>
        <v>-17.070784239733534</v>
      </c>
      <c r="C69" s="637">
        <f t="shared" ref="C69:C104" si="14">(MAX(IF($C$1="C",1,-1)*(A69-$P$5),0)-IF($O$10="Y",$P$13*EXP($O$6*$P$9),0))*$P$4</f>
        <v>0</v>
      </c>
      <c r="D69" s="637">
        <f t="shared" si="6"/>
        <v>1.199968345169937</v>
      </c>
      <c r="E69" s="632">
        <f t="shared" si="7"/>
        <v>1.077493858030778</v>
      </c>
      <c r="F69" s="636">
        <f t="shared" ref="F69:F104" si="15">(IF($D$1="C",(A69*EXP(-$O$7*($Q$9-$O$9))*NORMSDIST(D69))-($Q$5*EXP(-$O$6*($Q$9-$O$9))*NORMSDIST(E69)),(-A69*EXP(-$O$7*($Q$9-$O$9))*NORMSDIST(-D69))+($Q$5*EXP(-$O$6*($Q$9-$O$9))*NORMSDIST(-E69)))-IF($O$10="Y",$Q$13*EXP($O$6*$O$9),0))*$Q$4</f>
        <v>17.360827352531416</v>
      </c>
      <c r="G69" s="637">
        <f t="shared" si="8"/>
        <v>1.199968345169937</v>
      </c>
      <c r="H69" s="632">
        <f t="shared" si="9"/>
        <v>1.077493858030778</v>
      </c>
      <c r="I69" s="636">
        <f t="shared" ref="I69:I104" si="16">(IF($G$1="C",(A69*EXP(-$O$7*($R$9-$P$9))*NORMSDIST(G69))-($R$5*EXP(-$O$6*($R$9-$P$9))*NORMSDIST(H69)),(-A69*EXP(-$O$7*($R$9-$P$9))*NORMSDIST(-G69))+($R$5*EXP(-$O$6*($R$9-$P$9))*NORMSDIST(-H69)))-IF($O$10="Y",$R$13*EXP($O$6*$P$9),0))*$R$4</f>
        <v>0</v>
      </c>
      <c r="J69" s="638">
        <f t="shared" ref="J69:J104" si="17">B69+C69+F69+I69</f>
        <v>0.29004311279788197</v>
      </c>
    </row>
    <row r="70" spans="1:10" x14ac:dyDescent="0.25">
      <c r="A70" s="635">
        <f t="shared" ref="A70:A104" si="18">A69+1.5</f>
        <v>139</v>
      </c>
      <c r="B70" s="636">
        <f t="shared" si="13"/>
        <v>-18.570784239733534</v>
      </c>
      <c r="C70" s="637">
        <f t="shared" si="14"/>
        <v>0</v>
      </c>
      <c r="D70" s="637">
        <f t="shared" ref="D70:D104" si="19">(LN(A70/$Q$5)+(($O$6-$O$7+(0.5*$O$8*$O$8))*($Q$9-$O$9)))/($O$8*SQRT($Q$9-$O$9))</f>
        <v>1.2885583550365458</v>
      </c>
      <c r="E70" s="632">
        <f t="shared" ref="E70:E104" si="20">D70-($O$8*SQRT($Q$9-$O$9))</f>
        <v>1.1660838678973868</v>
      </c>
      <c r="F70" s="636">
        <f t="shared" si="15"/>
        <v>18.700685206206785</v>
      </c>
      <c r="G70" s="637">
        <f t="shared" ref="G70:G104" si="21">(LN(A70/$R$5)+(($O$6-$O$7+(0.5*$O$8*$O$8))*($R$9-$P$9)))/($O$8*SQRT($R$9-$P$9))</f>
        <v>1.2885583550365458</v>
      </c>
      <c r="H70" s="632">
        <f t="shared" ref="H70:H104" si="22">G70-($O$8*SQRT($R$9-$P$9))</f>
        <v>1.1660838678973868</v>
      </c>
      <c r="I70" s="636">
        <f t="shared" si="16"/>
        <v>0</v>
      </c>
      <c r="J70" s="638">
        <f t="shared" si="17"/>
        <v>0.12990096647325089</v>
      </c>
    </row>
    <row r="71" spans="1:10" x14ac:dyDescent="0.25">
      <c r="A71" s="635">
        <f t="shared" si="18"/>
        <v>140.5</v>
      </c>
      <c r="B71" s="636">
        <f t="shared" si="13"/>
        <v>-20.070784239733534</v>
      </c>
      <c r="C71" s="637">
        <f t="shared" si="14"/>
        <v>0</v>
      </c>
      <c r="D71" s="637">
        <f t="shared" si="19"/>
        <v>1.376197469874503</v>
      </c>
      <c r="E71" s="632">
        <f t="shared" si="20"/>
        <v>1.253722982735344</v>
      </c>
      <c r="F71" s="636">
        <f t="shared" si="15"/>
        <v>20.06354747007795</v>
      </c>
      <c r="G71" s="637">
        <f t="shared" si="21"/>
        <v>1.376197469874503</v>
      </c>
      <c r="H71" s="632">
        <f t="shared" si="22"/>
        <v>1.253722982735344</v>
      </c>
      <c r="I71" s="636">
        <f t="shared" si="16"/>
        <v>0</v>
      </c>
      <c r="J71" s="638">
        <f t="shared" si="17"/>
        <v>-7.2367696555843963E-3</v>
      </c>
    </row>
    <row r="72" spans="1:10" x14ac:dyDescent="0.25">
      <c r="A72" s="635">
        <f t="shared" si="18"/>
        <v>142</v>
      </c>
      <c r="B72" s="636">
        <f t="shared" si="13"/>
        <v>-21.570784239733534</v>
      </c>
      <c r="C72" s="637">
        <f t="shared" si="14"/>
        <v>0</v>
      </c>
      <c r="D72" s="637">
        <f t="shared" si="19"/>
        <v>1.4629058862599824</v>
      </c>
      <c r="E72" s="632">
        <f t="shared" si="20"/>
        <v>1.3404313991208234</v>
      </c>
      <c r="F72" s="636">
        <f t="shared" si="15"/>
        <v>21.446663406404255</v>
      </c>
      <c r="G72" s="637">
        <f t="shared" si="21"/>
        <v>1.4629058862599824</v>
      </c>
      <c r="H72" s="632">
        <f t="shared" si="22"/>
        <v>1.3404313991208234</v>
      </c>
      <c r="I72" s="636">
        <f t="shared" si="16"/>
        <v>0</v>
      </c>
      <c r="J72" s="638">
        <f t="shared" si="17"/>
        <v>-0.12412083332927892</v>
      </c>
    </row>
    <row r="73" spans="1:10" x14ac:dyDescent="0.25">
      <c r="A73" s="635">
        <f t="shared" si="18"/>
        <v>143.5</v>
      </c>
      <c r="B73" s="636">
        <f t="shared" si="13"/>
        <v>-23.070784239733534</v>
      </c>
      <c r="C73" s="637">
        <f t="shared" si="14"/>
        <v>0</v>
      </c>
      <c r="D73" s="637">
        <f t="shared" si="19"/>
        <v>1.5487031640756925</v>
      </c>
      <c r="E73" s="632">
        <f t="shared" si="20"/>
        <v>1.4262286769365335</v>
      </c>
      <c r="F73" s="636">
        <f t="shared" si="15"/>
        <v>22.847500915640254</v>
      </c>
      <c r="G73" s="637">
        <f t="shared" si="21"/>
        <v>1.5487031640756925</v>
      </c>
      <c r="H73" s="632">
        <f t="shared" si="22"/>
        <v>1.4262286769365335</v>
      </c>
      <c r="I73" s="636">
        <f t="shared" si="16"/>
        <v>0</v>
      </c>
      <c r="J73" s="638">
        <f t="shared" si="17"/>
        <v>-0.22328332409328056</v>
      </c>
    </row>
    <row r="74" spans="1:10" x14ac:dyDescent="0.25">
      <c r="A74" s="635">
        <f t="shared" si="18"/>
        <v>145</v>
      </c>
      <c r="B74" s="636">
        <f t="shared" si="13"/>
        <v>-24.570784239733534</v>
      </c>
      <c r="C74" s="637">
        <f t="shared" si="14"/>
        <v>0</v>
      </c>
      <c r="D74" s="637">
        <f t="shared" si="19"/>
        <v>1.633608252995014</v>
      </c>
      <c r="E74" s="632">
        <f t="shared" si="20"/>
        <v>1.511133765855855</v>
      </c>
      <c r="F74" s="636">
        <f t="shared" si="15"/>
        <v>24.263751784725315</v>
      </c>
      <c r="G74" s="637">
        <f t="shared" si="21"/>
        <v>1.633608252995014</v>
      </c>
      <c r="H74" s="632">
        <f t="shared" si="22"/>
        <v>1.511133765855855</v>
      </c>
      <c r="I74" s="636">
        <f t="shared" si="16"/>
        <v>0</v>
      </c>
      <c r="J74" s="638">
        <f t="shared" si="17"/>
        <v>-0.30703245500821907</v>
      </c>
    </row>
    <row r="75" spans="1:10" x14ac:dyDescent="0.25">
      <c r="A75" s="635">
        <f t="shared" si="18"/>
        <v>146.5</v>
      </c>
      <c r="B75" s="636">
        <f t="shared" si="13"/>
        <v>-26.070784239733534</v>
      </c>
      <c r="C75" s="637">
        <f t="shared" si="14"/>
        <v>0</v>
      </c>
      <c r="D75" s="637">
        <f t="shared" si="19"/>
        <v>1.7176395176032426</v>
      </c>
      <c r="E75" s="632">
        <f t="shared" si="20"/>
        <v>1.5951650304640836</v>
      </c>
      <c r="F75" s="636">
        <f t="shared" si="15"/>
        <v>25.693330997207468</v>
      </c>
      <c r="G75" s="637">
        <f t="shared" si="21"/>
        <v>1.7176395176032426</v>
      </c>
      <c r="H75" s="632">
        <f t="shared" si="22"/>
        <v>1.5951650304640836</v>
      </c>
      <c r="I75" s="636">
        <f t="shared" si="16"/>
        <v>0</v>
      </c>
      <c r="J75" s="638">
        <f t="shared" si="17"/>
        <v>-0.37745324252606594</v>
      </c>
    </row>
    <row r="76" spans="1:10" x14ac:dyDescent="0.25">
      <c r="A76" s="635">
        <f t="shared" si="18"/>
        <v>148</v>
      </c>
      <c r="B76" s="636">
        <f t="shared" si="13"/>
        <v>-27.570784239733534</v>
      </c>
      <c r="C76" s="637">
        <f t="shared" si="14"/>
        <v>0</v>
      </c>
      <c r="D76" s="637">
        <f t="shared" si="19"/>
        <v>1.8008147612392371</v>
      </c>
      <c r="E76" s="632">
        <f t="shared" si="20"/>
        <v>1.6783402741000781</v>
      </c>
      <c r="F76" s="636">
        <f t="shared" si="15"/>
        <v>27.134371214794669</v>
      </c>
      <c r="G76" s="637">
        <f t="shared" si="21"/>
        <v>1.8008147612392371</v>
      </c>
      <c r="H76" s="632">
        <f t="shared" si="22"/>
        <v>1.6783402741000781</v>
      </c>
      <c r="I76" s="636">
        <f t="shared" si="16"/>
        <v>0</v>
      </c>
      <c r="J76" s="638">
        <f t="shared" si="17"/>
        <v>-0.43641302493886514</v>
      </c>
    </row>
    <row r="77" spans="1:10" x14ac:dyDescent="0.25">
      <c r="A77" s="635">
        <f t="shared" si="18"/>
        <v>149.5</v>
      </c>
      <c r="B77" s="636">
        <f t="shared" si="13"/>
        <v>-29.070784239733534</v>
      </c>
      <c r="C77" s="637">
        <f t="shared" si="14"/>
        <v>0</v>
      </c>
      <c r="D77" s="637">
        <f t="shared" si="19"/>
        <v>1.8831512486349193</v>
      </c>
      <c r="E77" s="632">
        <f t="shared" si="20"/>
        <v>1.7606767614957604</v>
      </c>
      <c r="F77" s="636">
        <f t="shared" si="15"/>
        <v>28.585213497478051</v>
      </c>
      <c r="G77" s="637">
        <f t="shared" si="21"/>
        <v>1.8831512486349193</v>
      </c>
      <c r="H77" s="632">
        <f t="shared" si="22"/>
        <v>1.7606767614957604</v>
      </c>
      <c r="I77" s="636">
        <f t="shared" si="16"/>
        <v>0</v>
      </c>
      <c r="J77" s="638">
        <f t="shared" si="17"/>
        <v>-0.48557074225548291</v>
      </c>
    </row>
    <row r="78" spans="1:10" x14ac:dyDescent="0.25">
      <c r="A78" s="635">
        <f t="shared" si="18"/>
        <v>151</v>
      </c>
      <c r="B78" s="636">
        <f t="shared" si="13"/>
        <v>-30.570784239733534</v>
      </c>
      <c r="C78" s="637">
        <f t="shared" si="14"/>
        <v>0</v>
      </c>
      <c r="D78" s="637">
        <f t="shared" si="19"/>
        <v>1.9646657274246098</v>
      </c>
      <c r="E78" s="632">
        <f t="shared" si="20"/>
        <v>1.8421912402854508</v>
      </c>
      <c r="F78" s="636">
        <f t="shared" si="15"/>
        <v>30.044395249429144</v>
      </c>
      <c r="G78" s="637">
        <f t="shared" si="21"/>
        <v>1.9646657274246098</v>
      </c>
      <c r="H78" s="632">
        <f t="shared" si="22"/>
        <v>1.8421912402854508</v>
      </c>
      <c r="I78" s="636">
        <f t="shared" si="16"/>
        <v>0</v>
      </c>
      <c r="J78" s="638">
        <f t="shared" si="17"/>
        <v>-0.52638899030439035</v>
      </c>
    </row>
    <row r="79" spans="1:10" x14ac:dyDescent="0.25">
      <c r="A79" s="635">
        <f t="shared" si="18"/>
        <v>152.5</v>
      </c>
      <c r="B79" s="636">
        <f t="shared" si="13"/>
        <v>-32.070784239733534</v>
      </c>
      <c r="C79" s="637">
        <f t="shared" si="14"/>
        <v>0</v>
      </c>
      <c r="D79" s="637">
        <f t="shared" si="19"/>
        <v>2.0453744485912524</v>
      </c>
      <c r="E79" s="632">
        <f t="shared" si="20"/>
        <v>1.9228999614520934</v>
      </c>
      <c r="F79" s="636">
        <f t="shared" si="15"/>
        <v>31.51063627294333</v>
      </c>
      <c r="G79" s="637">
        <f t="shared" si="21"/>
        <v>2.0453744485912524</v>
      </c>
      <c r="H79" s="632">
        <f t="shared" si="22"/>
        <v>1.9228999614520934</v>
      </c>
      <c r="I79" s="636">
        <f t="shared" si="16"/>
        <v>0</v>
      </c>
      <c r="J79" s="638">
        <f t="shared" si="17"/>
        <v>-0.56014796679020407</v>
      </c>
    </row>
    <row r="80" spans="1:10" x14ac:dyDescent="0.25">
      <c r="A80" s="635">
        <f t="shared" si="18"/>
        <v>154</v>
      </c>
      <c r="B80" s="636">
        <f t="shared" si="13"/>
        <v>-33.570784239733534</v>
      </c>
      <c r="C80" s="637">
        <f t="shared" si="14"/>
        <v>0</v>
      </c>
      <c r="D80" s="637">
        <f t="shared" si="19"/>
        <v>2.1252931859119615</v>
      </c>
      <c r="E80" s="632">
        <f t="shared" si="20"/>
        <v>2.0028186987728027</v>
      </c>
      <c r="F80" s="636">
        <f t="shared" si="15"/>
        <v>32.982823693714906</v>
      </c>
      <c r="G80" s="637">
        <f t="shared" si="21"/>
        <v>2.1252931859119615</v>
      </c>
      <c r="H80" s="632">
        <f t="shared" si="22"/>
        <v>2.0028186987728027</v>
      </c>
      <c r="I80" s="636">
        <f t="shared" si="16"/>
        <v>0</v>
      </c>
      <c r="J80" s="638">
        <f t="shared" si="17"/>
        <v>-0.58796054601862835</v>
      </c>
    </row>
    <row r="81" spans="1:10" x14ac:dyDescent="0.25">
      <c r="A81" s="635">
        <f t="shared" si="18"/>
        <v>155.5</v>
      </c>
      <c r="B81" s="636">
        <f t="shared" si="13"/>
        <v>-35.070784239733534</v>
      </c>
      <c r="C81" s="637">
        <f t="shared" si="14"/>
        <v>0</v>
      </c>
      <c r="D81" s="637">
        <f t="shared" si="19"/>
        <v>2.2044372544610793</v>
      </c>
      <c r="E81" s="632">
        <f t="shared" si="20"/>
        <v>2.0819627673219205</v>
      </c>
      <c r="F81" s="636">
        <f t="shared" si="15"/>
        <v>34.459996396738134</v>
      </c>
      <c r="G81" s="637">
        <f t="shared" si="21"/>
        <v>2.2044372544610793</v>
      </c>
      <c r="H81" s="632">
        <f t="shared" si="22"/>
        <v>2.0819627673219205</v>
      </c>
      <c r="I81" s="636">
        <f t="shared" si="16"/>
        <v>0</v>
      </c>
      <c r="J81" s="638">
        <f t="shared" si="17"/>
        <v>-0.6107878429953999</v>
      </c>
    </row>
    <row r="82" spans="1:10" x14ac:dyDescent="0.25">
      <c r="A82" s="635">
        <f t="shared" si="18"/>
        <v>157</v>
      </c>
      <c r="B82" s="636">
        <f t="shared" si="13"/>
        <v>-36.570784239733534</v>
      </c>
      <c r="C82" s="637">
        <f t="shared" si="14"/>
        <v>0</v>
      </c>
      <c r="D82" s="637">
        <f t="shared" si="19"/>
        <v>2.2828215282250617</v>
      </c>
      <c r="E82" s="632">
        <f t="shared" si="20"/>
        <v>2.1603470410859029</v>
      </c>
      <c r="F82" s="636">
        <f t="shared" si="15"/>
        <v>35.941329490233329</v>
      </c>
      <c r="G82" s="637">
        <f t="shared" si="21"/>
        <v>2.2828215282250617</v>
      </c>
      <c r="H82" s="632">
        <f t="shared" si="22"/>
        <v>2.1603470410859029</v>
      </c>
      <c r="I82" s="636">
        <f t="shared" si="16"/>
        <v>0</v>
      </c>
      <c r="J82" s="638">
        <f t="shared" si="17"/>
        <v>-0.62945474950020497</v>
      </c>
    </row>
    <row r="83" spans="1:10" x14ac:dyDescent="0.25">
      <c r="A83" s="635">
        <f t="shared" si="18"/>
        <v>158.5</v>
      </c>
      <c r="B83" s="636">
        <f t="shared" si="13"/>
        <v>-38.070784239733534</v>
      </c>
      <c r="C83" s="637">
        <f t="shared" si="14"/>
        <v>0</v>
      </c>
      <c r="D83" s="637">
        <f t="shared" si="19"/>
        <v>2.3604604568798355</v>
      </c>
      <c r="E83" s="632">
        <f t="shared" si="20"/>
        <v>2.2379859697406768</v>
      </c>
      <c r="F83" s="636">
        <f t="shared" si="15"/>
        <v>37.426119200413993</v>
      </c>
      <c r="G83" s="637">
        <f t="shared" si="21"/>
        <v>2.3604604568798355</v>
      </c>
      <c r="H83" s="632">
        <f t="shared" si="22"/>
        <v>2.2379859697406768</v>
      </c>
      <c r="I83" s="636">
        <f t="shared" si="16"/>
        <v>0</v>
      </c>
      <c r="J83" s="638">
        <f t="shared" si="17"/>
        <v>-0.64466503931954122</v>
      </c>
    </row>
    <row r="84" spans="1:10" x14ac:dyDescent="0.25">
      <c r="A84" s="635">
        <f t="shared" si="18"/>
        <v>160</v>
      </c>
      <c r="B84" s="636">
        <f t="shared" si="13"/>
        <v>-39.570784239733534</v>
      </c>
      <c r="C84" s="637">
        <f t="shared" si="14"/>
        <v>0</v>
      </c>
      <c r="D84" s="637">
        <f t="shared" si="19"/>
        <v>2.4373680817779846</v>
      </c>
      <c r="E84" s="632">
        <f t="shared" si="20"/>
        <v>2.3148935946388258</v>
      </c>
      <c r="F84" s="636">
        <f t="shared" si="15"/>
        <v>38.913768496152926</v>
      </c>
      <c r="G84" s="637">
        <f t="shared" si="21"/>
        <v>2.4373680817779846</v>
      </c>
      <c r="H84" s="632">
        <f t="shared" si="22"/>
        <v>2.3148935946388258</v>
      </c>
      <c r="I84" s="636">
        <f t="shared" si="16"/>
        <v>0</v>
      </c>
      <c r="J84" s="638">
        <f t="shared" si="17"/>
        <v>-0.6570157435806081</v>
      </c>
    </row>
    <row r="85" spans="1:10" x14ac:dyDescent="0.25">
      <c r="A85" s="635">
        <f t="shared" si="18"/>
        <v>161.5</v>
      </c>
      <c r="B85" s="636">
        <f t="shared" si="13"/>
        <v>-41.070784239733534</v>
      </c>
      <c r="C85" s="637">
        <f t="shared" si="14"/>
        <v>0</v>
      </c>
      <c r="D85" s="637">
        <f t="shared" si="19"/>
        <v>2.5135580511899978</v>
      </c>
      <c r="E85" s="632">
        <f t="shared" si="20"/>
        <v>2.391083564050839</v>
      </c>
      <c r="F85" s="636">
        <f t="shared" si="15"/>
        <v>40.403773651726226</v>
      </c>
      <c r="G85" s="637">
        <f t="shared" si="21"/>
        <v>2.5135580511899978</v>
      </c>
      <c r="H85" s="632">
        <f t="shared" si="22"/>
        <v>2.391083564050839</v>
      </c>
      <c r="I85" s="636">
        <f t="shared" si="16"/>
        <v>0</v>
      </c>
      <c r="J85" s="638">
        <f t="shared" si="17"/>
        <v>-0.66701058800730806</v>
      </c>
    </row>
    <row r="86" spans="1:10" x14ac:dyDescent="0.25">
      <c r="A86" s="635">
        <f t="shared" si="18"/>
        <v>163</v>
      </c>
      <c r="B86" s="636">
        <f t="shared" si="13"/>
        <v>-42.570784239733534</v>
      </c>
      <c r="C86" s="637">
        <f t="shared" si="14"/>
        <v>0</v>
      </c>
      <c r="D86" s="637">
        <f t="shared" si="19"/>
        <v>2.5890436348409551</v>
      </c>
      <c r="E86" s="632">
        <f t="shared" si="20"/>
        <v>2.4665691477017964</v>
      </c>
      <c r="F86" s="636">
        <f t="shared" si="15"/>
        <v>41.895711878677801</v>
      </c>
      <c r="G86" s="637">
        <f t="shared" si="21"/>
        <v>2.5890436348409551</v>
      </c>
      <c r="H86" s="632">
        <f t="shared" si="22"/>
        <v>2.4665691477017964</v>
      </c>
      <c r="I86" s="636">
        <f t="shared" si="16"/>
        <v>0</v>
      </c>
      <c r="J86" s="638">
        <f t="shared" si="17"/>
        <v>-0.67507236105573298</v>
      </c>
    </row>
    <row r="87" spans="1:10" x14ac:dyDescent="0.25">
      <c r="A87" s="635">
        <f t="shared" si="18"/>
        <v>164.5</v>
      </c>
      <c r="B87" s="636">
        <f t="shared" si="13"/>
        <v>-44.070784239733534</v>
      </c>
      <c r="C87" s="637">
        <f t="shared" si="14"/>
        <v>0</v>
      </c>
      <c r="D87" s="637">
        <f t="shared" si="19"/>
        <v>2.6638377377813978</v>
      </c>
      <c r="E87" s="632">
        <f t="shared" si="20"/>
        <v>2.541363250642239</v>
      </c>
      <c r="F87" s="636">
        <f t="shared" si="15"/>
        <v>43.389230094395288</v>
      </c>
      <c r="G87" s="637">
        <f t="shared" si="21"/>
        <v>2.6638377377813978</v>
      </c>
      <c r="H87" s="632">
        <f t="shared" si="22"/>
        <v>2.541363250642239</v>
      </c>
      <c r="I87" s="636">
        <f t="shared" si="16"/>
        <v>0</v>
      </c>
      <c r="J87" s="638">
        <f t="shared" si="17"/>
        <v>-0.68155414533824654</v>
      </c>
    </row>
    <row r="88" spans="1:10" x14ac:dyDescent="0.25">
      <c r="A88" s="635">
        <f t="shared" si="18"/>
        <v>166</v>
      </c>
      <c r="B88" s="636">
        <f t="shared" si="13"/>
        <v>-45.570784239733534</v>
      </c>
      <c r="C88" s="637">
        <f t="shared" si="14"/>
        <v>0</v>
      </c>
      <c r="D88" s="637">
        <f t="shared" si="19"/>
        <v>2.7379529136286158</v>
      </c>
      <c r="E88" s="632">
        <f t="shared" si="20"/>
        <v>2.6154784264894571</v>
      </c>
      <c r="F88" s="636">
        <f t="shared" si="15"/>
        <v>44.884034844506886</v>
      </c>
      <c r="G88" s="637">
        <f t="shared" si="21"/>
        <v>2.7379529136286158</v>
      </c>
      <c r="H88" s="632">
        <f t="shared" si="22"/>
        <v>2.6154784264894571</v>
      </c>
      <c r="I88" s="636">
        <f t="shared" si="16"/>
        <v>0</v>
      </c>
      <c r="J88" s="638">
        <f t="shared" si="17"/>
        <v>-0.68674939522664857</v>
      </c>
    </row>
    <row r="89" spans="1:10" x14ac:dyDescent="0.25">
      <c r="A89" s="635">
        <f t="shared" si="18"/>
        <v>167.5</v>
      </c>
      <c r="B89" s="636">
        <f t="shared" si="13"/>
        <v>-47.070784239733534</v>
      </c>
      <c r="C89" s="637">
        <f t="shared" si="14"/>
        <v>0</v>
      </c>
      <c r="D89" s="637">
        <f t="shared" si="19"/>
        <v>2.8114013772123565</v>
      </c>
      <c r="E89" s="632">
        <f t="shared" si="20"/>
        <v>2.6889268900731977</v>
      </c>
      <c r="F89" s="636">
        <f t="shared" si="15"/>
        <v>46.379883357524022</v>
      </c>
      <c r="G89" s="637">
        <f t="shared" si="21"/>
        <v>2.8114013772123565</v>
      </c>
      <c r="H89" s="632">
        <f t="shared" si="22"/>
        <v>2.6889268900731977</v>
      </c>
      <c r="I89" s="636">
        <f t="shared" si="16"/>
        <v>0</v>
      </c>
      <c r="J89" s="638">
        <f t="shared" si="17"/>
        <v>-0.69090088220951174</v>
      </c>
    </row>
    <row r="90" spans="1:10" x14ac:dyDescent="0.25">
      <c r="A90" s="635">
        <f t="shared" si="18"/>
        <v>169</v>
      </c>
      <c r="B90" s="636">
        <f t="shared" si="13"/>
        <v>-48.570784239733534</v>
      </c>
      <c r="C90" s="637">
        <f t="shared" si="14"/>
        <v>0</v>
      </c>
      <c r="D90" s="637">
        <f t="shared" si="19"/>
        <v>2.884195016656812</v>
      </c>
      <c r="E90" s="632">
        <f t="shared" si="20"/>
        <v>2.7617205295176532</v>
      </c>
      <c r="F90" s="636">
        <f t="shared" si="15"/>
        <v>47.876575681854959</v>
      </c>
      <c r="G90" s="637">
        <f t="shared" si="21"/>
        <v>2.884195016656812</v>
      </c>
      <c r="H90" s="632">
        <f t="shared" si="22"/>
        <v>2.7617205295176532</v>
      </c>
      <c r="I90" s="636">
        <f t="shared" si="16"/>
        <v>0</v>
      </c>
      <c r="J90" s="638">
        <f t="shared" si="17"/>
        <v>-0.69420855787857505</v>
      </c>
    </row>
    <row r="91" spans="1:10" x14ac:dyDescent="0.25">
      <c r="A91" s="635">
        <f t="shared" si="18"/>
        <v>170.5</v>
      </c>
      <c r="B91" s="636">
        <f t="shared" si="13"/>
        <v>-50.070784239733534</v>
      </c>
      <c r="C91" s="637">
        <f t="shared" si="14"/>
        <v>0</v>
      </c>
      <c r="D91" s="637">
        <f t="shared" si="19"/>
        <v>2.9563454049287596</v>
      </c>
      <c r="E91" s="632">
        <f t="shared" si="20"/>
        <v>2.8338709177896009</v>
      </c>
      <c r="F91" s="636">
        <f t="shared" si="15"/>
        <v>49.373947835860278</v>
      </c>
      <c r="G91" s="637">
        <f t="shared" si="21"/>
        <v>2.9563454049287596</v>
      </c>
      <c r="H91" s="632">
        <f t="shared" si="22"/>
        <v>2.8338709177896009</v>
      </c>
      <c r="I91" s="636">
        <f t="shared" si="16"/>
        <v>0</v>
      </c>
      <c r="J91" s="638">
        <f t="shared" si="17"/>
        <v>-0.69683640387325596</v>
      </c>
    </row>
    <row r="92" spans="1:10" x14ac:dyDescent="0.25">
      <c r="A92" s="635">
        <f t="shared" si="18"/>
        <v>172</v>
      </c>
      <c r="B92" s="636">
        <f t="shared" si="13"/>
        <v>-51.570784239733534</v>
      </c>
      <c r="C92" s="637">
        <f t="shared" si="14"/>
        <v>0</v>
      </c>
      <c r="D92" s="637">
        <f t="shared" si="19"/>
        <v>3.0278638108799445</v>
      </c>
      <c r="E92" s="632">
        <f t="shared" si="20"/>
        <v>2.9053893237407857</v>
      </c>
      <c r="F92" s="636">
        <f t="shared" si="15"/>
        <v>50.871865889488106</v>
      </c>
      <c r="G92" s="637">
        <f t="shared" si="21"/>
        <v>3.0278638108799445</v>
      </c>
      <c r="H92" s="632">
        <f t="shared" si="22"/>
        <v>2.9053893237407857</v>
      </c>
      <c r="I92" s="636">
        <f t="shared" si="16"/>
        <v>0</v>
      </c>
      <c r="J92" s="638">
        <f t="shared" si="17"/>
        <v>-0.69891835024542814</v>
      </c>
    </row>
    <row r="93" spans="1:10" x14ac:dyDescent="0.25">
      <c r="A93" s="635">
        <f t="shared" si="18"/>
        <v>173.5</v>
      </c>
      <c r="B93" s="636">
        <f t="shared" si="13"/>
        <v>-53.070784239733534</v>
      </c>
      <c r="C93" s="637">
        <f t="shared" si="14"/>
        <v>0</v>
      </c>
      <c r="D93" s="637">
        <f t="shared" si="19"/>
        <v>3.0987612098100157</v>
      </c>
      <c r="E93" s="632">
        <f t="shared" si="20"/>
        <v>2.9762867226708569</v>
      </c>
      <c r="F93" s="636">
        <f t="shared" si="15"/>
        <v>52.370220889763885</v>
      </c>
      <c r="G93" s="637">
        <f t="shared" si="21"/>
        <v>3.0987612098100157</v>
      </c>
      <c r="H93" s="632">
        <f t="shared" si="22"/>
        <v>2.9762867226708569</v>
      </c>
      <c r="I93" s="636">
        <f t="shared" si="16"/>
        <v>0</v>
      </c>
      <c r="J93" s="638">
        <f t="shared" si="17"/>
        <v>-0.70056334996964864</v>
      </c>
    </row>
    <row r="94" spans="1:10" x14ac:dyDescent="0.25">
      <c r="A94" s="635">
        <f t="shared" si="18"/>
        <v>175</v>
      </c>
      <c r="B94" s="636">
        <f t="shared" si="13"/>
        <v>-54.570784239733534</v>
      </c>
      <c r="C94" s="637">
        <f t="shared" si="14"/>
        <v>0</v>
      </c>
      <c r="D94" s="637">
        <f t="shared" si="19"/>
        <v>3.1690482935748086</v>
      </c>
      <c r="E94" s="632">
        <f t="shared" si="20"/>
        <v>3.0465738064356498</v>
      </c>
      <c r="F94" s="636">
        <f t="shared" si="15"/>
        <v>53.868924540703958</v>
      </c>
      <c r="G94" s="637">
        <f t="shared" si="21"/>
        <v>3.1690482935748086</v>
      </c>
      <c r="H94" s="632">
        <f t="shared" si="22"/>
        <v>3.0465738064356498</v>
      </c>
      <c r="I94" s="636">
        <f t="shared" si="16"/>
        <v>0</v>
      </c>
      <c r="J94" s="638">
        <f t="shared" si="17"/>
        <v>-0.70185969902957623</v>
      </c>
    </row>
    <row r="95" spans="1:10" x14ac:dyDescent="0.25">
      <c r="A95" s="635">
        <f t="shared" si="18"/>
        <v>176.5</v>
      </c>
      <c r="B95" s="636">
        <f t="shared" si="13"/>
        <v>-56.070784239733534</v>
      </c>
      <c r="C95" s="637">
        <f t="shared" si="14"/>
        <v>0</v>
      </c>
      <c r="D95" s="637">
        <f t="shared" si="19"/>
        <v>3.2387354802632489</v>
      </c>
      <c r="E95" s="632">
        <f t="shared" si="20"/>
        <v>3.1162609931240901</v>
      </c>
      <c r="F95" s="636">
        <f t="shared" si="15"/>
        <v>55.367905549915619</v>
      </c>
      <c r="G95" s="637">
        <f t="shared" si="21"/>
        <v>3.2387354802632489</v>
      </c>
      <c r="H95" s="632">
        <f t="shared" si="22"/>
        <v>3.1162609931240901</v>
      </c>
      <c r="I95" s="636">
        <f t="shared" si="16"/>
        <v>0</v>
      </c>
      <c r="J95" s="638">
        <f t="shared" si="17"/>
        <v>-0.7028786898179149</v>
      </c>
    </row>
    <row r="96" spans="1:10" x14ac:dyDescent="0.25">
      <c r="A96" s="635">
        <f t="shared" si="18"/>
        <v>178</v>
      </c>
      <c r="B96" s="636">
        <f t="shared" si="13"/>
        <v>-57.570784239733534</v>
      </c>
      <c r="C96" s="637">
        <f t="shared" si="14"/>
        <v>0</v>
      </c>
      <c r="D96" s="637">
        <f t="shared" si="19"/>
        <v>3.3078329234647708</v>
      </c>
      <c r="E96" s="632">
        <f t="shared" si="20"/>
        <v>3.185358436325612</v>
      </c>
      <c r="F96" s="636">
        <f t="shared" si="15"/>
        <v>56.867106558258783</v>
      </c>
      <c r="G96" s="637">
        <f t="shared" si="21"/>
        <v>3.3078329234647708</v>
      </c>
      <c r="H96" s="632">
        <f t="shared" si="22"/>
        <v>3.185358436325612</v>
      </c>
      <c r="I96" s="636">
        <f t="shared" si="16"/>
        <v>0</v>
      </c>
      <c r="J96" s="638">
        <f t="shared" si="17"/>
        <v>-0.70367768147475118</v>
      </c>
    </row>
    <row r="97" spans="1:10" x14ac:dyDescent="0.25">
      <c r="A97" s="635">
        <f t="shared" si="18"/>
        <v>179.5</v>
      </c>
      <c r="B97" s="636">
        <f t="shared" si="13"/>
        <v>-59.070784239733534</v>
      </c>
      <c r="C97" s="637">
        <f t="shared" si="14"/>
        <v>0</v>
      </c>
      <c r="D97" s="637">
        <f t="shared" si="19"/>
        <v>3.3763505211478995</v>
      </c>
      <c r="E97" s="632">
        <f t="shared" si="20"/>
        <v>3.2538760340087407</v>
      </c>
      <c r="F97" s="636">
        <f t="shared" si="15"/>
        <v>58.366481574663425</v>
      </c>
      <c r="G97" s="637">
        <f t="shared" si="21"/>
        <v>3.3763505211478995</v>
      </c>
      <c r="H97" s="632">
        <f t="shared" si="22"/>
        <v>3.2538760340087407</v>
      </c>
      <c r="I97" s="636">
        <f t="shared" si="16"/>
        <v>0</v>
      </c>
      <c r="J97" s="638">
        <f t="shared" si="17"/>
        <v>-0.70430266507010941</v>
      </c>
    </row>
    <row r="98" spans="1:10" x14ac:dyDescent="0.25">
      <c r="A98" s="635">
        <f t="shared" si="18"/>
        <v>181</v>
      </c>
      <c r="B98" s="636">
        <f t="shared" si="13"/>
        <v>-60.570784239733534</v>
      </c>
      <c r="C98" s="637">
        <f t="shared" si="14"/>
        <v>0</v>
      </c>
      <c r="D98" s="637">
        <f t="shared" si="19"/>
        <v>3.4442979241693688</v>
      </c>
      <c r="E98" s="632">
        <f t="shared" si="20"/>
        <v>3.32182343703021</v>
      </c>
      <c r="F98" s="636">
        <f t="shared" si="15"/>
        <v>59.865993844869649</v>
      </c>
      <c r="G98" s="637">
        <f t="shared" si="21"/>
        <v>3.4442979241693688</v>
      </c>
      <c r="H98" s="632">
        <f t="shared" si="22"/>
        <v>3.32182343703021</v>
      </c>
      <c r="I98" s="636">
        <f t="shared" si="16"/>
        <v>0</v>
      </c>
      <c r="J98" s="638">
        <f t="shared" si="17"/>
        <v>-0.70479039486388473</v>
      </c>
    </row>
    <row r="99" spans="1:10" x14ac:dyDescent="0.25">
      <c r="A99" s="635">
        <f t="shared" si="18"/>
        <v>182.5</v>
      </c>
      <c r="B99" s="636">
        <f t="shared" si="13"/>
        <v>-62.070784239733534</v>
      </c>
      <c r="C99" s="637">
        <f t="shared" si="14"/>
        <v>0</v>
      </c>
      <c r="D99" s="637">
        <f t="shared" si="19"/>
        <v>3.5116845444321099</v>
      </c>
      <c r="E99" s="632">
        <f t="shared" si="20"/>
        <v>3.3892100572929511</v>
      </c>
      <c r="F99" s="636">
        <f t="shared" si="15"/>
        <v>61.36561408997872</v>
      </c>
      <c r="G99" s="637">
        <f t="shared" si="21"/>
        <v>3.5116845444321099</v>
      </c>
      <c r="H99" s="632">
        <f t="shared" si="22"/>
        <v>3.3892100572929511</v>
      </c>
      <c r="I99" s="636">
        <f t="shared" si="16"/>
        <v>0</v>
      </c>
      <c r="J99" s="638">
        <f t="shared" si="17"/>
        <v>-0.70517014975481374</v>
      </c>
    </row>
    <row r="100" spans="1:10" x14ac:dyDescent="0.25">
      <c r="A100" s="635">
        <f t="shared" si="18"/>
        <v>184</v>
      </c>
      <c r="B100" s="636">
        <f t="shared" si="13"/>
        <v>-63.570784239733534</v>
      </c>
      <c r="C100" s="637">
        <f t="shared" si="14"/>
        <v>0</v>
      </c>
      <c r="D100" s="637">
        <f t="shared" si="19"/>
        <v>3.5785195627093351</v>
      </c>
      <c r="E100" s="632">
        <f t="shared" si="20"/>
        <v>3.4560450755701764</v>
      </c>
      <c r="F100" s="636">
        <f t="shared" si="15"/>
        <v>62.865319057890801</v>
      </c>
      <c r="G100" s="637">
        <f t="shared" si="21"/>
        <v>3.5785195627093351</v>
      </c>
      <c r="H100" s="632">
        <f t="shared" si="22"/>
        <v>3.4560450755701764</v>
      </c>
      <c r="I100" s="636">
        <f t="shared" si="16"/>
        <v>0</v>
      </c>
      <c r="J100" s="638">
        <f t="shared" si="17"/>
        <v>-0.7054651818427331</v>
      </c>
    </row>
    <row r="101" spans="1:10" x14ac:dyDescent="0.25">
      <c r="A101" s="635">
        <f t="shared" si="18"/>
        <v>185.5</v>
      </c>
      <c r="B101" s="636">
        <f t="shared" si="13"/>
        <v>-65.070784239733527</v>
      </c>
      <c r="C101" s="637">
        <f t="shared" si="14"/>
        <v>0</v>
      </c>
      <c r="D101" s="637">
        <f t="shared" si="19"/>
        <v>3.6448119361509899</v>
      </c>
      <c r="E101" s="632">
        <f t="shared" si="20"/>
        <v>3.5223374490118311</v>
      </c>
      <c r="F101" s="636">
        <f t="shared" si="15"/>
        <v>64.365090337683853</v>
      </c>
      <c r="G101" s="637">
        <f t="shared" si="21"/>
        <v>3.6448119361509899</v>
      </c>
      <c r="H101" s="632">
        <f t="shared" si="22"/>
        <v>3.5223374490118311</v>
      </c>
      <c r="I101" s="636">
        <f t="shared" si="16"/>
        <v>0</v>
      </c>
      <c r="J101" s="638">
        <f t="shared" si="17"/>
        <v>-0.70569390204967419</v>
      </c>
    </row>
    <row r="102" spans="1:10" x14ac:dyDescent="0.25">
      <c r="A102" s="635">
        <f t="shared" si="18"/>
        <v>187</v>
      </c>
      <c r="B102" s="636">
        <f t="shared" si="13"/>
        <v>-66.570784239733527</v>
      </c>
      <c r="C102" s="637">
        <f t="shared" si="14"/>
        <v>0</v>
      </c>
      <c r="D102" s="637">
        <f t="shared" si="19"/>
        <v>3.7105704054879203</v>
      </c>
      <c r="E102" s="632">
        <f t="shared" si="20"/>
        <v>3.5880959183487615</v>
      </c>
      <c r="F102" s="636">
        <f t="shared" si="15"/>
        <v>65.864913393572806</v>
      </c>
      <c r="G102" s="637">
        <f t="shared" si="21"/>
        <v>3.7105704054879203</v>
      </c>
      <c r="H102" s="632">
        <f t="shared" si="22"/>
        <v>3.5880959183487615</v>
      </c>
      <c r="I102" s="636">
        <f t="shared" si="16"/>
        <v>0</v>
      </c>
      <c r="J102" s="638">
        <f t="shared" si="17"/>
        <v>-0.70587084616072104</v>
      </c>
    </row>
    <row r="103" spans="1:10" x14ac:dyDescent="0.25">
      <c r="A103" s="635">
        <f t="shared" si="18"/>
        <v>188.5</v>
      </c>
      <c r="B103" s="636">
        <f t="shared" si="13"/>
        <v>-68.070784239733527</v>
      </c>
      <c r="C103" s="637">
        <f t="shared" si="14"/>
        <v>0</v>
      </c>
      <c r="D103" s="637">
        <f t="shared" si="19"/>
        <v>3.7758035019482561</v>
      </c>
      <c r="E103" s="632">
        <f t="shared" si="20"/>
        <v>3.6533290148090973</v>
      </c>
      <c r="F103" s="636">
        <f t="shared" si="15"/>
        <v>67.364776781159236</v>
      </c>
      <c r="G103" s="637">
        <f t="shared" si="21"/>
        <v>3.7758035019482561</v>
      </c>
      <c r="H103" s="632">
        <f t="shared" si="22"/>
        <v>3.6533290148090973</v>
      </c>
      <c r="I103" s="636">
        <f t="shared" si="16"/>
        <v>0</v>
      </c>
      <c r="J103" s="638">
        <f t="shared" si="17"/>
        <v>-0.70600745857429104</v>
      </c>
    </row>
    <row r="104" spans="1:10" x14ac:dyDescent="0.25">
      <c r="A104" s="635">
        <f t="shared" si="18"/>
        <v>190</v>
      </c>
      <c r="B104" s="646">
        <f t="shared" si="13"/>
        <v>-69.570784239733527</v>
      </c>
      <c r="C104" s="641">
        <f t="shared" si="14"/>
        <v>0</v>
      </c>
      <c r="D104" s="641">
        <f t="shared" si="19"/>
        <v>3.8405195538996706</v>
      </c>
      <c r="E104" s="647">
        <f t="shared" si="20"/>
        <v>3.7180450667605118</v>
      </c>
      <c r="F104" s="646">
        <f t="shared" si="15"/>
        <v>68.864671514177545</v>
      </c>
      <c r="G104" s="641">
        <f t="shared" si="21"/>
        <v>3.8405195538996706</v>
      </c>
      <c r="H104" s="647">
        <f t="shared" si="22"/>
        <v>3.7180450667605118</v>
      </c>
      <c r="I104" s="646">
        <f t="shared" si="16"/>
        <v>0</v>
      </c>
      <c r="J104" s="648">
        <f t="shared" si="17"/>
        <v>-0.70611272555598248</v>
      </c>
    </row>
    <row r="105" spans="1:10" x14ac:dyDescent="0.25">
      <c r="A105" s="635"/>
    </row>
    <row r="106" spans="1:10" x14ac:dyDescent="0.25">
      <c r="A106" s="635"/>
    </row>
    <row r="107" spans="1:10" x14ac:dyDescent="0.25">
      <c r="A107" s="635"/>
    </row>
    <row r="108" spans="1:10" x14ac:dyDescent="0.25">
      <c r="A108" s="635"/>
    </row>
    <row r="109" spans="1:10" x14ac:dyDescent="0.25">
      <c r="A109" s="635"/>
    </row>
    <row r="110" spans="1:10" x14ac:dyDescent="0.25">
      <c r="A110" s="635"/>
    </row>
    <row r="111" spans="1:10" x14ac:dyDescent="0.25">
      <c r="A111" s="635"/>
    </row>
    <row r="112" spans="1:10" x14ac:dyDescent="0.25">
      <c r="A112" s="635"/>
    </row>
    <row r="113" spans="1:1" x14ac:dyDescent="0.25">
      <c r="A113" s="635"/>
    </row>
    <row r="114" spans="1:1" x14ac:dyDescent="0.25">
      <c r="A114" s="635"/>
    </row>
    <row r="115" spans="1:1" x14ac:dyDescent="0.25">
      <c r="A115" s="635"/>
    </row>
    <row r="116" spans="1:1" x14ac:dyDescent="0.25">
      <c r="A116" s="635"/>
    </row>
    <row r="117" spans="1:1" x14ac:dyDescent="0.25">
      <c r="A117" s="635"/>
    </row>
    <row r="118" spans="1:1" x14ac:dyDescent="0.25">
      <c r="A118" s="635"/>
    </row>
    <row r="119" spans="1:1" x14ac:dyDescent="0.25">
      <c r="A119" s="635"/>
    </row>
    <row r="120" spans="1:1" x14ac:dyDescent="0.25">
      <c r="A120" s="635"/>
    </row>
    <row r="121" spans="1:1" x14ac:dyDescent="0.25">
      <c r="A121" s="635"/>
    </row>
    <row r="122" spans="1:1" x14ac:dyDescent="0.25">
      <c r="A122" s="635"/>
    </row>
    <row r="123" spans="1:1" x14ac:dyDescent="0.25">
      <c r="A123" s="635"/>
    </row>
    <row r="124" spans="1:1" x14ac:dyDescent="0.25">
      <c r="A124" s="635"/>
    </row>
    <row r="125" spans="1:1" x14ac:dyDescent="0.25">
      <c r="A125" s="635"/>
    </row>
    <row r="126" spans="1:1" x14ac:dyDescent="0.25">
      <c r="A126" s="635"/>
    </row>
    <row r="127" spans="1:1" x14ac:dyDescent="0.25">
      <c r="A127" s="635"/>
    </row>
    <row r="128" spans="1:1" x14ac:dyDescent="0.25">
      <c r="A128" s="635"/>
    </row>
    <row r="129" spans="1:1" x14ac:dyDescent="0.25">
      <c r="A129" s="635"/>
    </row>
    <row r="130" spans="1:1" x14ac:dyDescent="0.25">
      <c r="A130" s="635"/>
    </row>
    <row r="131" spans="1:1" x14ac:dyDescent="0.25">
      <c r="A131" s="635"/>
    </row>
    <row r="132" spans="1:1" x14ac:dyDescent="0.25">
      <c r="A132" s="635"/>
    </row>
  </sheetData>
  <mergeCells count="13">
    <mergeCell ref="M2:M10"/>
    <mergeCell ref="O2:R2"/>
    <mergeCell ref="B3:I3"/>
    <mergeCell ref="O6:R6"/>
    <mergeCell ref="O7:R7"/>
    <mergeCell ref="O8:R8"/>
    <mergeCell ref="O10:R10"/>
    <mergeCell ref="J1:J3"/>
    <mergeCell ref="A1:A2"/>
    <mergeCell ref="B1:B2"/>
    <mergeCell ref="C1:C2"/>
    <mergeCell ref="D1:F1"/>
    <mergeCell ref="G1:I1"/>
  </mergeCells>
  <pageMargins left="0.75" right="0.75" top="1" bottom="1" header="0.5" footer="0.5"/>
  <pageSetup orientation="portrait" r:id="rId1"/>
  <headerFooter alignWithMargins="0"/>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7938-1E9D-4CAD-8700-D91D7CE6FEDE}">
  <dimension ref="A1:R132"/>
  <sheetViews>
    <sheetView topLeftCell="K1" zoomScale="110" zoomScaleNormal="110" workbookViewId="0">
      <selection activeCell="O6" sqref="O6:R6"/>
    </sheetView>
  </sheetViews>
  <sheetFormatPr baseColWidth="10" defaultColWidth="9.21875" defaultRowHeight="13.2" x14ac:dyDescent="0.25"/>
  <cols>
    <col min="1" max="1" width="20.44140625" style="622" bestFit="1" customWidth="1"/>
    <col min="2" max="12" width="9.21875" style="622"/>
    <col min="13" max="13" width="12.44140625" style="622" bestFit="1" customWidth="1"/>
    <col min="14" max="14" width="20.21875" style="622" bestFit="1" customWidth="1"/>
    <col min="15" max="16384" width="9.21875" style="622"/>
  </cols>
  <sheetData>
    <row r="1" spans="1:18" x14ac:dyDescent="0.25">
      <c r="A1" s="759" t="s">
        <v>89</v>
      </c>
      <c r="B1" s="761" t="str">
        <f>O3</f>
        <v>C</v>
      </c>
      <c r="C1" s="761" t="str">
        <f>P3</f>
        <v>P</v>
      </c>
      <c r="D1" s="763" t="str">
        <f>Q3</f>
        <v>C</v>
      </c>
      <c r="E1" s="764"/>
      <c r="F1" s="765"/>
      <c r="G1" s="763" t="str">
        <f>R3</f>
        <v>C</v>
      </c>
      <c r="H1" s="764"/>
      <c r="I1" s="765"/>
      <c r="J1" s="777" t="s">
        <v>90</v>
      </c>
      <c r="O1" s="623" t="s">
        <v>697</v>
      </c>
      <c r="P1" s="623" t="s">
        <v>698</v>
      </c>
      <c r="Q1" s="623" t="s">
        <v>699</v>
      </c>
      <c r="R1" s="623" t="s">
        <v>700</v>
      </c>
    </row>
    <row r="2" spans="1:18" x14ac:dyDescent="0.25">
      <c r="A2" s="760"/>
      <c r="B2" s="762"/>
      <c r="C2" s="762"/>
      <c r="D2" s="625" t="s">
        <v>108</v>
      </c>
      <c r="E2" s="625" t="s">
        <v>109</v>
      </c>
      <c r="F2" s="625" t="s">
        <v>701</v>
      </c>
      <c r="G2" s="625" t="s">
        <v>108</v>
      </c>
      <c r="H2" s="625" t="s">
        <v>109</v>
      </c>
      <c r="I2" s="625" t="s">
        <v>701</v>
      </c>
      <c r="J2" s="777"/>
      <c r="M2" s="759" t="s">
        <v>94</v>
      </c>
      <c r="N2" s="626" t="s">
        <v>95</v>
      </c>
      <c r="O2" s="767">
        <v>100</v>
      </c>
      <c r="P2" s="767"/>
      <c r="Q2" s="767"/>
      <c r="R2" s="767"/>
    </row>
    <row r="3" spans="1:18" x14ac:dyDescent="0.25">
      <c r="A3" s="628" t="s">
        <v>96</v>
      </c>
      <c r="B3" s="768" t="s">
        <v>193</v>
      </c>
      <c r="C3" s="769"/>
      <c r="D3" s="769"/>
      <c r="E3" s="769"/>
      <c r="F3" s="769"/>
      <c r="G3" s="769"/>
      <c r="H3" s="769"/>
      <c r="I3" s="770"/>
      <c r="J3" s="759"/>
      <c r="M3" s="766"/>
      <c r="N3" s="632" t="s">
        <v>97</v>
      </c>
      <c r="O3" s="627" t="s">
        <v>99</v>
      </c>
      <c r="P3" s="627" t="s">
        <v>98</v>
      </c>
      <c r="Q3" s="627" t="s">
        <v>99</v>
      </c>
      <c r="R3" s="627" t="s">
        <v>99</v>
      </c>
    </row>
    <row r="4" spans="1:18" x14ac:dyDescent="0.25">
      <c r="A4" s="629">
        <v>40</v>
      </c>
      <c r="B4" s="633">
        <f>(MAX(IF($B$1="C",1,-1)*(A4-$O$5),0)-IF($O$10="Y",$O$13*EXP($O$6*$O$9),0))*$O$4</f>
        <v>0.42921576026646741</v>
      </c>
      <c r="C4" s="626">
        <f>(MAX(IF($C$1="C",1,-1)*(A4-$P$5),0)-IF($O$10="Y",$P$13*EXP($O$6*$P$9),0))*$P$4</f>
        <v>0</v>
      </c>
      <c r="D4" s="626">
        <f>D5*2</f>
        <v>-14.184887737984626</v>
      </c>
      <c r="E4" s="630">
        <f>E5*2</f>
        <v>-14.429836712262944</v>
      </c>
      <c r="F4" s="633">
        <f>(IF($D$1="C",(A4*EXP(-$O$7*($Q$9-$O$9))*NORMSDIST(D4))-($Q$5*EXP(-$O$6*($Q$9-$O$9))*NORMSDIST(E4)),(-A4*EXP(-$O$7*($Q$9-$O$9))*NORMSDIST(-D4))+($Q$5*EXP(-$O$6*($Q$9-$O$9))*NORMSDIST(-E4)))-IF($O$10="Y",$Q$13*EXP($O$6*$O$9),0))*$Q$4</f>
        <v>-7.2397262839471175</v>
      </c>
      <c r="G4" s="626">
        <f>G5*2</f>
        <v>-14.184887737984626</v>
      </c>
      <c r="H4" s="630">
        <f>H5*2</f>
        <v>-14.429836712262944</v>
      </c>
      <c r="I4" s="633">
        <f>(IF($G$1="C",(A4*EXP(-$O$7*($R$9-$P$9))*NORMSDIST(G4))-($R$5*EXP(-$O$6*($R$9-$P$9))*NORMSDIST(H4)),(-A4*EXP(-$O$7*($R$9-$P$9))*NORMSDIST(-G4))+($R$5*EXP(-$O$6*($R$9-$P$9))*NORMSDIST(-H4)))-IF($O$10="Y",$R$13*EXP($O$6*$P$9),0))*$R$4</f>
        <v>0</v>
      </c>
      <c r="J4" s="634">
        <f>B4+C4+F4+I4</f>
        <v>-6.8105105236806498</v>
      </c>
      <c r="M4" s="766"/>
      <c r="N4" s="632" t="s">
        <v>100</v>
      </c>
      <c r="O4" s="627">
        <v>-1</v>
      </c>
      <c r="P4" s="627">
        <v>0</v>
      </c>
      <c r="Q4" s="627">
        <v>1</v>
      </c>
      <c r="R4" s="627">
        <v>0</v>
      </c>
    </row>
    <row r="5" spans="1:18" x14ac:dyDescent="0.25">
      <c r="A5" s="635">
        <f>A4+1.5</f>
        <v>41.5</v>
      </c>
      <c r="B5" s="636">
        <f t="shared" ref="B5:B68" si="0">(MAX(IF($B$1="C",1,-1)*(A5-$O$5),0)-IF($O$10="Y",$O$13*EXP($O$6*$O$9),0))*$O$4</f>
        <v>0.42921576026646741</v>
      </c>
      <c r="C5" s="637">
        <f t="shared" ref="C5:C68" si="1">(MAX(IF($C$1="C",1,-1)*(A5-$P$5),0)-IF($O$10="Y",$P$13*EXP($O$6*$P$9),0))*$P$4</f>
        <v>0</v>
      </c>
      <c r="D5" s="637">
        <f>(LN(A5/$Q$5)+(($O$6-$O$7+(0.5*$O$8*$O$8))*($Q$9-$O$9)))/($O$8*SQRT($Q$9-$O$9))</f>
        <v>-7.092443868992313</v>
      </c>
      <c r="E5" s="632">
        <f>D5-($O$8*SQRT($Q$9-$O$9))</f>
        <v>-7.2149183561314718</v>
      </c>
      <c r="F5" s="636">
        <f t="shared" ref="F5:F68" si="2">(IF($D$1="C",(A5*EXP(-$O$7*($Q$9-$O$9))*NORMSDIST(D5))-($Q$5*EXP(-$O$6*($Q$9-$O$9))*NORMSDIST(E5)),(-A5*EXP(-$O$7*($Q$9-$O$9))*NORMSDIST(-D5))+($Q$5*EXP(-$O$6*($Q$9-$O$9))*NORMSDIST(-E5)))-IF($O$10="Y",$Q$13*EXP($O$6*$O$9),0))*$Q$4</f>
        <v>-7.2397262839466698</v>
      </c>
      <c r="G5" s="637">
        <f>(LN(A5/$R$5)+(($O$6-$O$7+(0.5*$O$8*$O$8))*($R$9-$P$9)))/($O$8*SQRT($R$9-$P$9))</f>
        <v>-7.092443868992313</v>
      </c>
      <c r="H5" s="632">
        <f>G5-($O$8*SQRT($R$9-$P$9))</f>
        <v>-7.2149183561314718</v>
      </c>
      <c r="I5" s="636">
        <f t="shared" ref="I5:I68" si="3">(IF($G$1="C",(A5*EXP(-$O$7*($R$9-$P$9))*NORMSDIST(G5))-($R$5*EXP(-$O$6*($R$9-$P$9))*NORMSDIST(H5)),(-A5*EXP(-$O$7*($R$9-$P$9))*NORMSDIST(-G5))+($R$5*EXP(-$O$6*($R$9-$P$9))*NORMSDIST(-H5)))-IF($O$10="Y",$R$13*EXP($O$6*$P$9),0))*$R$4</f>
        <v>0</v>
      </c>
      <c r="J5" s="638">
        <f t="shared" ref="J5:J68" si="4">B5+C5+F5+I5</f>
        <v>-6.8105105236802022</v>
      </c>
      <c r="M5" s="766"/>
      <c r="N5" s="637" t="s">
        <v>101</v>
      </c>
      <c r="O5" s="627">
        <v>120</v>
      </c>
      <c r="P5" s="627">
        <f>O5</f>
        <v>120</v>
      </c>
      <c r="Q5" s="627">
        <v>100</v>
      </c>
      <c r="R5" s="627">
        <f>Q5</f>
        <v>100</v>
      </c>
    </row>
    <row r="6" spans="1:18" x14ac:dyDescent="0.25">
      <c r="A6" s="635">
        <f t="shared" ref="A6:A69" si="5">A5+1.5</f>
        <v>43</v>
      </c>
      <c r="B6" s="636">
        <f t="shared" si="0"/>
        <v>0.42921576026646741</v>
      </c>
      <c r="C6" s="637">
        <f t="shared" si="1"/>
        <v>0</v>
      </c>
      <c r="D6" s="637">
        <f t="shared" ref="D6:D69" si="6">(LN(A6/$Q$5)+(($O$6-$O$7+(0.5*$O$8*$O$8))*($Q$9-$O$9)))/($O$8*SQRT($Q$9-$O$9))</f>
        <v>-6.8025329717409848</v>
      </c>
      <c r="E6" s="632">
        <f t="shared" ref="E6:E69" si="7">D6-($O$8*SQRT($Q$9-$O$9))</f>
        <v>-6.9250074588801436</v>
      </c>
      <c r="F6" s="636">
        <f t="shared" si="2"/>
        <v>-7.2397262839433578</v>
      </c>
      <c r="G6" s="637">
        <f t="shared" ref="G6:G69" si="8">(LN(A6/$R$5)+(($O$6-$O$7+(0.5*$O$8*$O$8))*($R$9-$P$9)))/($O$8*SQRT($R$9-$P$9))</f>
        <v>-6.8025329717409848</v>
      </c>
      <c r="H6" s="632">
        <f t="shared" ref="H6:H69" si="9">G6-($O$8*SQRT($R$9-$P$9))</f>
        <v>-6.9250074588801436</v>
      </c>
      <c r="I6" s="636">
        <f t="shared" si="3"/>
        <v>0</v>
      </c>
      <c r="J6" s="638">
        <f t="shared" si="4"/>
        <v>-6.8105105236768901</v>
      </c>
      <c r="K6" s="639"/>
      <c r="M6" s="766"/>
      <c r="N6" s="637" t="s">
        <v>102</v>
      </c>
      <c r="O6" s="771">
        <v>0.02</v>
      </c>
      <c r="P6" s="772"/>
      <c r="Q6" s="772"/>
      <c r="R6" s="773"/>
    </row>
    <row r="7" spans="1:18" x14ac:dyDescent="0.25">
      <c r="A7" s="635">
        <f t="shared" si="5"/>
        <v>44.5</v>
      </c>
      <c r="B7" s="636">
        <f t="shared" si="0"/>
        <v>0.42921576026646741</v>
      </c>
      <c r="C7" s="637">
        <f t="shared" si="1"/>
        <v>0</v>
      </c>
      <c r="D7" s="637">
        <f t="shared" si="6"/>
        <v>-6.5225638591561577</v>
      </c>
      <c r="E7" s="632">
        <f t="shared" si="7"/>
        <v>-6.6450383462953164</v>
      </c>
      <c r="F7" s="636">
        <f t="shared" si="2"/>
        <v>-7.2397262839199419</v>
      </c>
      <c r="G7" s="637">
        <f t="shared" si="8"/>
        <v>-6.5225638591561577</v>
      </c>
      <c r="H7" s="632">
        <f t="shared" si="9"/>
        <v>-6.6450383462953164</v>
      </c>
      <c r="I7" s="636">
        <f t="shared" si="3"/>
        <v>0</v>
      </c>
      <c r="J7" s="638">
        <f t="shared" si="4"/>
        <v>-6.8105105236534742</v>
      </c>
      <c r="K7" s="640"/>
      <c r="M7" s="766"/>
      <c r="N7" s="637" t="s">
        <v>103</v>
      </c>
      <c r="O7" s="771">
        <v>0</v>
      </c>
      <c r="P7" s="772"/>
      <c r="Q7" s="772"/>
      <c r="R7" s="773"/>
    </row>
    <row r="8" spans="1:18" x14ac:dyDescent="0.25">
      <c r="A8" s="635">
        <f t="shared" si="5"/>
        <v>46</v>
      </c>
      <c r="B8" s="636">
        <f t="shared" si="0"/>
        <v>0.42921576026646741</v>
      </c>
      <c r="C8" s="637">
        <f t="shared" si="1"/>
        <v>0</v>
      </c>
      <c r="D8" s="637">
        <f t="shared" si="6"/>
        <v>-6.2518772199115933</v>
      </c>
      <c r="E8" s="632">
        <f t="shared" si="7"/>
        <v>-6.374351707050752</v>
      </c>
      <c r="F8" s="636">
        <f t="shared" si="2"/>
        <v>-7.2397262837758625</v>
      </c>
      <c r="G8" s="637">
        <f t="shared" si="8"/>
        <v>-6.2518772199115933</v>
      </c>
      <c r="H8" s="632">
        <f t="shared" si="9"/>
        <v>-6.374351707050752</v>
      </c>
      <c r="I8" s="636">
        <f t="shared" si="3"/>
        <v>0</v>
      </c>
      <c r="J8" s="638">
        <f t="shared" si="4"/>
        <v>-6.8105105235093948</v>
      </c>
      <c r="M8" s="766"/>
      <c r="N8" s="637" t="s">
        <v>104</v>
      </c>
      <c r="O8" s="771">
        <v>0.3</v>
      </c>
      <c r="P8" s="772"/>
      <c r="Q8" s="772"/>
      <c r="R8" s="773"/>
    </row>
    <row r="9" spans="1:18" x14ac:dyDescent="0.25">
      <c r="A9" s="635">
        <f t="shared" si="5"/>
        <v>47.5</v>
      </c>
      <c r="B9" s="636">
        <f t="shared" si="0"/>
        <v>0.42921576026646741</v>
      </c>
      <c r="C9" s="637">
        <f t="shared" si="1"/>
        <v>0</v>
      </c>
      <c r="D9" s="637">
        <f t="shared" si="6"/>
        <v>-5.9898772287212587</v>
      </c>
      <c r="E9" s="632">
        <f t="shared" si="7"/>
        <v>-6.1123517158604175</v>
      </c>
      <c r="F9" s="636">
        <f t="shared" si="2"/>
        <v>-7.2397262829956439</v>
      </c>
      <c r="G9" s="637">
        <f t="shared" si="8"/>
        <v>-5.9898772287212587</v>
      </c>
      <c r="H9" s="632">
        <f t="shared" si="9"/>
        <v>-6.1123517158604175</v>
      </c>
      <c r="I9" s="636">
        <f t="shared" si="3"/>
        <v>0</v>
      </c>
      <c r="J9" s="638">
        <f t="shared" si="4"/>
        <v>-6.8105105227291762</v>
      </c>
      <c r="M9" s="766"/>
      <c r="N9" s="641" t="s">
        <v>105</v>
      </c>
      <c r="O9" s="623">
        <f>2/12</f>
        <v>0.16666666666666666</v>
      </c>
      <c r="P9" s="623">
        <f>O9</f>
        <v>0.16666666666666666</v>
      </c>
      <c r="Q9" s="623">
        <f>P9*2</f>
        <v>0.33333333333333331</v>
      </c>
      <c r="R9" s="623">
        <f>Q9</f>
        <v>0.33333333333333331</v>
      </c>
    </row>
    <row r="10" spans="1:18" x14ac:dyDescent="0.25">
      <c r="A10" s="635">
        <f t="shared" si="5"/>
        <v>49</v>
      </c>
      <c r="B10" s="636">
        <f t="shared" si="0"/>
        <v>0.42921576026646741</v>
      </c>
      <c r="C10" s="637">
        <f t="shared" si="1"/>
        <v>0</v>
      </c>
      <c r="D10" s="637">
        <f t="shared" si="6"/>
        <v>-5.7360236483040969</v>
      </c>
      <c r="E10" s="632">
        <f t="shared" si="7"/>
        <v>-5.8584981354432557</v>
      </c>
      <c r="F10" s="636">
        <f t="shared" si="2"/>
        <v>-7.2397262792393109</v>
      </c>
      <c r="G10" s="637">
        <f t="shared" si="8"/>
        <v>-5.7360236483040969</v>
      </c>
      <c r="H10" s="632">
        <f t="shared" si="9"/>
        <v>-5.8584981354432557</v>
      </c>
      <c r="I10" s="636">
        <f t="shared" si="3"/>
        <v>0</v>
      </c>
      <c r="J10" s="638">
        <f t="shared" si="4"/>
        <v>-6.8105105189728432</v>
      </c>
      <c r="M10" s="760"/>
      <c r="N10" s="642" t="s">
        <v>106</v>
      </c>
      <c r="O10" s="774" t="s">
        <v>122</v>
      </c>
      <c r="P10" s="775"/>
      <c r="Q10" s="775"/>
      <c r="R10" s="776"/>
    </row>
    <row r="11" spans="1:18" x14ac:dyDescent="0.25">
      <c r="A11" s="635">
        <f t="shared" si="5"/>
        <v>50.5</v>
      </c>
      <c r="B11" s="636">
        <f t="shared" si="0"/>
        <v>0.42921576026646741</v>
      </c>
      <c r="C11" s="637">
        <f t="shared" si="1"/>
        <v>0</v>
      </c>
      <c r="D11" s="637">
        <f t="shared" si="6"/>
        <v>-5.4898251225946009</v>
      </c>
      <c r="E11" s="632">
        <f t="shared" si="7"/>
        <v>-5.6122996097337596</v>
      </c>
      <c r="F11" s="636">
        <f t="shared" si="2"/>
        <v>-7.2397262630138357</v>
      </c>
      <c r="G11" s="637">
        <f t="shared" si="8"/>
        <v>-5.4898251225946009</v>
      </c>
      <c r="H11" s="632">
        <f t="shared" si="9"/>
        <v>-5.6122996097337596</v>
      </c>
      <c r="I11" s="636">
        <f t="shared" si="3"/>
        <v>0</v>
      </c>
      <c r="J11" s="638">
        <f t="shared" si="4"/>
        <v>-6.810510502747368</v>
      </c>
      <c r="M11" s="621" t="s">
        <v>107</v>
      </c>
      <c r="N11" s="633" t="s">
        <v>108</v>
      </c>
      <c r="O11" s="628">
        <f>(LN($O$2/O5)+(($O$6-$O$7+(0.5*$O$8*$O$8))*O9))/($O$8*SQRT(O9))</f>
        <v>-1.4001954812496711</v>
      </c>
      <c r="P11" s="628">
        <f t="shared" ref="P11:R11" si="10">(LN($O$2/P5)+(($O$6-$O$7+(0.5*$O$8*$O$8))*P9))/($O$8*SQRT(P9))</f>
        <v>-1.4001954812496711</v>
      </c>
      <c r="Q11" s="628">
        <f t="shared" si="10"/>
        <v>0.12509255832441893</v>
      </c>
      <c r="R11" s="628">
        <f t="shared" si="10"/>
        <v>0.12509255832441893</v>
      </c>
    </row>
    <row r="12" spans="1:18" x14ac:dyDescent="0.25">
      <c r="A12" s="635">
        <f t="shared" si="5"/>
        <v>52</v>
      </c>
      <c r="B12" s="636">
        <f t="shared" si="0"/>
        <v>0.42921576026646741</v>
      </c>
      <c r="C12" s="637">
        <f t="shared" si="1"/>
        <v>0</v>
      </c>
      <c r="D12" s="637">
        <f t="shared" si="6"/>
        <v>-5.2508334518897017</v>
      </c>
      <c r="E12" s="632">
        <f t="shared" si="7"/>
        <v>-5.3733079390288605</v>
      </c>
      <c r="F12" s="636">
        <f t="shared" si="2"/>
        <v>-7.2397261996154239</v>
      </c>
      <c r="G12" s="637">
        <f t="shared" si="8"/>
        <v>-5.2508334518897017</v>
      </c>
      <c r="H12" s="632">
        <f t="shared" si="9"/>
        <v>-5.3733079390288605</v>
      </c>
      <c r="I12" s="636">
        <f t="shared" si="3"/>
        <v>0</v>
      </c>
      <c r="J12" s="638">
        <f t="shared" si="4"/>
        <v>-6.8105104393489562</v>
      </c>
      <c r="M12" s="631"/>
      <c r="N12" s="636" t="s">
        <v>109</v>
      </c>
      <c r="O12" s="643">
        <f>O11-($O$8*SQRT(O9))</f>
        <v>-1.5226699683888301</v>
      </c>
      <c r="P12" s="643">
        <f t="shared" ref="P12:R12" si="11">P11-($O$8*SQRT(P9))</f>
        <v>-1.5226699683888301</v>
      </c>
      <c r="Q12" s="643">
        <f t="shared" si="11"/>
        <v>-4.8112522432468774E-2</v>
      </c>
      <c r="R12" s="643">
        <f t="shared" si="11"/>
        <v>-4.8112522432468774E-2</v>
      </c>
    </row>
    <row r="13" spans="1:18" x14ac:dyDescent="0.25">
      <c r="A13" s="635">
        <f t="shared" si="5"/>
        <v>53.5</v>
      </c>
      <c r="B13" s="636">
        <f t="shared" si="0"/>
        <v>0.42921576026646741</v>
      </c>
      <c r="C13" s="637">
        <f t="shared" si="1"/>
        <v>0</v>
      </c>
      <c r="D13" s="637">
        <f t="shared" si="6"/>
        <v>-5.0186386823111073</v>
      </c>
      <c r="E13" s="632">
        <f t="shared" si="7"/>
        <v>-5.1411131694502661</v>
      </c>
      <c r="F13" s="636">
        <f t="shared" si="2"/>
        <v>-7.2397259738664577</v>
      </c>
      <c r="G13" s="637">
        <f t="shared" si="8"/>
        <v>-5.0186386823111073</v>
      </c>
      <c r="H13" s="632">
        <f t="shared" si="9"/>
        <v>-5.1411131694502661</v>
      </c>
      <c r="I13" s="636">
        <f t="shared" si="3"/>
        <v>0</v>
      </c>
      <c r="J13" s="638">
        <f t="shared" si="4"/>
        <v>-6.81051021359999</v>
      </c>
      <c r="M13" s="624"/>
      <c r="N13" s="644" t="s">
        <v>110</v>
      </c>
      <c r="O13" s="62">
        <f>IF(O3="C",($O$2*EXP(-$O$7*O9)*NORMSDIST(O11))-(O5*EXP(-$O$6*O9)*NORMSDIST(O12)),(-$O$2*EXP(-$O$7*O9)*NORMSDIST(-O11))-(-O5*EXP(-$O$6*O9)*NORMSDIST(-O12)))</f>
        <v>0.42778742295030714</v>
      </c>
      <c r="P13" s="62">
        <f t="shared" ref="P13:R13" si="12">IF(P3="C",($O$2*EXP(-$O$7*P9)*NORMSDIST(P11))-(P5*EXP(-$O$6*P9)*NORMSDIST(P12)),(-$O$2*EXP(-$O$7*P9)*NORMSDIST(-P11))-(-P5*EXP(-$O$6*P9)*NORMSDIST(-P12)))</f>
        <v>20.028453349493091</v>
      </c>
      <c r="Q13" s="62">
        <f t="shared" si="12"/>
        <v>7.2156340390497533</v>
      </c>
      <c r="R13" s="62">
        <f t="shared" si="12"/>
        <v>7.2156340390497533</v>
      </c>
    </row>
    <row r="14" spans="1:18" x14ac:dyDescent="0.25">
      <c r="A14" s="635">
        <f t="shared" si="5"/>
        <v>55</v>
      </c>
      <c r="B14" s="636">
        <f t="shared" si="0"/>
        <v>0.42921576026646741</v>
      </c>
      <c r="C14" s="637">
        <f t="shared" si="1"/>
        <v>0</v>
      </c>
      <c r="D14" s="637">
        <f t="shared" si="6"/>
        <v>-4.7928648744233335</v>
      </c>
      <c r="E14" s="632">
        <f t="shared" si="7"/>
        <v>-4.9153393615624923</v>
      </c>
      <c r="F14" s="636">
        <f t="shared" si="2"/>
        <v>-7.2397252363753459</v>
      </c>
      <c r="G14" s="637">
        <f t="shared" si="8"/>
        <v>-4.7928648744233335</v>
      </c>
      <c r="H14" s="632">
        <f t="shared" si="9"/>
        <v>-4.9153393615624923</v>
      </c>
      <c r="I14" s="636">
        <f t="shared" si="3"/>
        <v>0</v>
      </c>
      <c r="J14" s="638">
        <f t="shared" si="4"/>
        <v>-6.8105094761088782</v>
      </c>
      <c r="O14" s="645"/>
    </row>
    <row r="15" spans="1:18" x14ac:dyDescent="0.25">
      <c r="A15" s="635">
        <f t="shared" si="5"/>
        <v>56.5</v>
      </c>
      <c r="B15" s="636">
        <f t="shared" si="0"/>
        <v>0.42921576026646741</v>
      </c>
      <c r="C15" s="637">
        <f t="shared" si="1"/>
        <v>0</v>
      </c>
      <c r="D15" s="637">
        <f t="shared" si="6"/>
        <v>-4.5731664413174151</v>
      </c>
      <c r="E15" s="632">
        <f t="shared" si="7"/>
        <v>-4.6956409284565739</v>
      </c>
      <c r="F15" s="636">
        <f t="shared" si="2"/>
        <v>-7.2397230124390237</v>
      </c>
      <c r="G15" s="637">
        <f t="shared" si="8"/>
        <v>-4.5731664413174151</v>
      </c>
      <c r="H15" s="632">
        <f t="shared" si="9"/>
        <v>-4.6956409284565739</v>
      </c>
      <c r="I15" s="636">
        <f t="shared" si="3"/>
        <v>0</v>
      </c>
      <c r="J15" s="638">
        <f t="shared" si="4"/>
        <v>-6.810507252172556</v>
      </c>
    </row>
    <row r="16" spans="1:18" x14ac:dyDescent="0.25">
      <c r="A16" s="635">
        <f t="shared" si="5"/>
        <v>58</v>
      </c>
      <c r="B16" s="636">
        <f t="shared" si="0"/>
        <v>0.42921576026646741</v>
      </c>
      <c r="C16" s="637">
        <f t="shared" si="1"/>
        <v>0</v>
      </c>
      <c r="D16" s="637">
        <f t="shared" si="6"/>
        <v>-4.3592249665982585</v>
      </c>
      <c r="E16" s="632">
        <f t="shared" si="7"/>
        <v>-4.4816994537374173</v>
      </c>
      <c r="F16" s="636">
        <f t="shared" si="2"/>
        <v>-7.2397167874653841</v>
      </c>
      <c r="G16" s="637">
        <f t="shared" si="8"/>
        <v>-4.3592249665982585</v>
      </c>
      <c r="H16" s="632">
        <f t="shared" si="9"/>
        <v>-4.4816994537374173</v>
      </c>
      <c r="I16" s="636">
        <f t="shared" si="3"/>
        <v>0</v>
      </c>
      <c r="J16" s="638">
        <f t="shared" si="4"/>
        <v>-6.8105010271989164</v>
      </c>
    </row>
    <row r="17" spans="1:13" x14ac:dyDescent="0.25">
      <c r="A17" s="635">
        <f t="shared" si="5"/>
        <v>59.5</v>
      </c>
      <c r="B17" s="636">
        <f t="shared" si="0"/>
        <v>0.42921576026646741</v>
      </c>
      <c r="C17" s="637">
        <f t="shared" si="1"/>
        <v>0</v>
      </c>
      <c r="D17" s="637">
        <f t="shared" si="6"/>
        <v>-4.1507464287281373</v>
      </c>
      <c r="E17" s="632">
        <f t="shared" si="7"/>
        <v>-4.273220915867296</v>
      </c>
      <c r="F17" s="636">
        <f t="shared" si="2"/>
        <v>-7.2397005316814163</v>
      </c>
      <c r="G17" s="637">
        <f t="shared" si="8"/>
        <v>-4.1507464287281373</v>
      </c>
      <c r="H17" s="632">
        <f t="shared" si="9"/>
        <v>-4.273220915867296</v>
      </c>
      <c r="I17" s="636">
        <f t="shared" si="3"/>
        <v>0</v>
      </c>
      <c r="J17" s="638">
        <f t="shared" si="4"/>
        <v>-6.8104847714149486</v>
      </c>
    </row>
    <row r="18" spans="1:13" x14ac:dyDescent="0.25">
      <c r="A18" s="635">
        <f t="shared" si="5"/>
        <v>61</v>
      </c>
      <c r="B18" s="636">
        <f t="shared" si="0"/>
        <v>0.42921576026646741</v>
      </c>
      <c r="C18" s="637">
        <f t="shared" si="1"/>
        <v>0</v>
      </c>
      <c r="D18" s="637">
        <f t="shared" si="6"/>
        <v>-3.9474587710020188</v>
      </c>
      <c r="E18" s="632">
        <f t="shared" si="7"/>
        <v>-4.0699332581411776</v>
      </c>
      <c r="F18" s="636">
        <f t="shared" si="2"/>
        <v>-7.2396607436328013</v>
      </c>
      <c r="G18" s="637">
        <f t="shared" si="8"/>
        <v>-3.9474587710020188</v>
      </c>
      <c r="H18" s="632">
        <f t="shared" si="9"/>
        <v>-4.0699332581411776</v>
      </c>
      <c r="I18" s="636">
        <f t="shared" si="3"/>
        <v>0</v>
      </c>
      <c r="J18" s="638">
        <f t="shared" si="4"/>
        <v>-6.8104449833663336</v>
      </c>
    </row>
    <row r="19" spans="1:13" x14ac:dyDescent="0.25">
      <c r="A19" s="635">
        <f t="shared" si="5"/>
        <v>62.5</v>
      </c>
      <c r="B19" s="636">
        <f t="shared" si="0"/>
        <v>0.42921576026646741</v>
      </c>
      <c r="C19" s="637">
        <f t="shared" si="1"/>
        <v>0</v>
      </c>
      <c r="D19" s="637">
        <f t="shared" si="6"/>
        <v>-3.7491097667604865</v>
      </c>
      <c r="E19" s="632">
        <f t="shared" si="7"/>
        <v>-3.8715842538996452</v>
      </c>
      <c r="F19" s="636">
        <f t="shared" si="2"/>
        <v>-7.239569074270598</v>
      </c>
      <c r="G19" s="637">
        <f t="shared" si="8"/>
        <v>-3.7491097667604865</v>
      </c>
      <c r="H19" s="632">
        <f t="shared" si="9"/>
        <v>-3.8715842538996452</v>
      </c>
      <c r="I19" s="636">
        <f t="shared" si="3"/>
        <v>0</v>
      </c>
      <c r="J19" s="638">
        <f t="shared" si="4"/>
        <v>-6.8103533140041304</v>
      </c>
    </row>
    <row r="20" spans="1:13" x14ac:dyDescent="0.25">
      <c r="A20" s="635">
        <f t="shared" si="5"/>
        <v>64</v>
      </c>
      <c r="B20" s="636">
        <f t="shared" si="0"/>
        <v>0.42921576026646741</v>
      </c>
      <c r="C20" s="637">
        <f t="shared" si="1"/>
        <v>0</v>
      </c>
      <c r="D20" s="637">
        <f t="shared" si="6"/>
        <v>-3.5554651378152866</v>
      </c>
      <c r="E20" s="632">
        <f t="shared" si="7"/>
        <v>-3.6779396249544454</v>
      </c>
      <c r="F20" s="636">
        <f t="shared" si="2"/>
        <v>-7.2393694901000467</v>
      </c>
      <c r="G20" s="637">
        <f t="shared" si="8"/>
        <v>-3.5554651378152866</v>
      </c>
      <c r="H20" s="632">
        <f t="shared" si="9"/>
        <v>-3.6779396249544454</v>
      </c>
      <c r="I20" s="636">
        <f t="shared" si="3"/>
        <v>0</v>
      </c>
      <c r="J20" s="638">
        <f t="shared" si="4"/>
        <v>-6.810153729833579</v>
      </c>
    </row>
    <row r="21" spans="1:13" x14ac:dyDescent="0.25">
      <c r="A21" s="635">
        <f t="shared" si="5"/>
        <v>65.5</v>
      </c>
      <c r="B21" s="636">
        <f t="shared" si="0"/>
        <v>0.42921576026646741</v>
      </c>
      <c r="C21" s="637">
        <f t="shared" si="1"/>
        <v>0</v>
      </c>
      <c r="D21" s="637">
        <f t="shared" si="6"/>
        <v>-3.3663068908800589</v>
      </c>
      <c r="E21" s="632">
        <f t="shared" si="7"/>
        <v>-3.4887813780192176</v>
      </c>
      <c r="F21" s="636">
        <f t="shared" si="2"/>
        <v>-7.2389573659649811</v>
      </c>
      <c r="G21" s="637">
        <f t="shared" si="8"/>
        <v>-3.3663068908800589</v>
      </c>
      <c r="H21" s="632">
        <f t="shared" si="9"/>
        <v>-3.4887813780192176</v>
      </c>
      <c r="I21" s="636">
        <f t="shared" si="3"/>
        <v>0</v>
      </c>
      <c r="J21" s="638">
        <f t="shared" si="4"/>
        <v>-6.8097416056985134</v>
      </c>
    </row>
    <row r="22" spans="1:13" x14ac:dyDescent="0.25">
      <c r="A22" s="635">
        <f t="shared" si="5"/>
        <v>67</v>
      </c>
      <c r="B22" s="636">
        <f t="shared" si="0"/>
        <v>0.42921576026646741</v>
      </c>
      <c r="C22" s="637">
        <f t="shared" si="1"/>
        <v>0</v>
      </c>
      <c r="D22" s="637">
        <f t="shared" si="6"/>
        <v>-3.1814318423809147</v>
      </c>
      <c r="E22" s="632">
        <f t="shared" si="7"/>
        <v>-3.3039063295200735</v>
      </c>
      <c r="F22" s="636">
        <f t="shared" si="2"/>
        <v>-7.2381475624533804</v>
      </c>
      <c r="G22" s="637">
        <f t="shared" si="8"/>
        <v>-3.1814318423809147</v>
      </c>
      <c r="H22" s="632">
        <f t="shared" si="9"/>
        <v>-3.3039063295200735</v>
      </c>
      <c r="I22" s="636">
        <f t="shared" si="3"/>
        <v>0</v>
      </c>
      <c r="J22" s="638">
        <f t="shared" si="4"/>
        <v>-6.8089318021869127</v>
      </c>
    </row>
    <row r="23" spans="1:13" x14ac:dyDescent="0.25">
      <c r="A23" s="635">
        <f t="shared" si="5"/>
        <v>68.5</v>
      </c>
      <c r="B23" s="636">
        <f t="shared" si="0"/>
        <v>0.42921576026646741</v>
      </c>
      <c r="C23" s="637">
        <f t="shared" si="1"/>
        <v>0</v>
      </c>
      <c r="D23" s="637">
        <f t="shared" si="6"/>
        <v>-3.0006503066145616</v>
      </c>
      <c r="E23" s="632">
        <f t="shared" si="7"/>
        <v>-3.1231247937537203</v>
      </c>
      <c r="F23" s="636">
        <f t="shared" si="2"/>
        <v>-7.2366286866083493</v>
      </c>
      <c r="G23" s="637">
        <f t="shared" si="8"/>
        <v>-3.0006503066145616</v>
      </c>
      <c r="H23" s="632">
        <f t="shared" si="9"/>
        <v>-3.1231247937537203</v>
      </c>
      <c r="I23" s="636">
        <f t="shared" si="3"/>
        <v>0</v>
      </c>
      <c r="J23" s="638">
        <f t="shared" si="4"/>
        <v>-6.8074129263418817</v>
      </c>
    </row>
    <row r="24" spans="1:13" x14ac:dyDescent="0.25">
      <c r="A24" s="635">
        <f t="shared" si="5"/>
        <v>70</v>
      </c>
      <c r="B24" s="636">
        <f t="shared" si="0"/>
        <v>0.42921576026646741</v>
      </c>
      <c r="C24" s="637">
        <f t="shared" si="1"/>
        <v>0</v>
      </c>
      <c r="D24" s="637">
        <f t="shared" si="6"/>
        <v>-2.8237849260184635</v>
      </c>
      <c r="E24" s="632">
        <f t="shared" si="7"/>
        <v>-2.9462594131576223</v>
      </c>
      <c r="F24" s="636">
        <f t="shared" si="2"/>
        <v>-7.2339015954888142</v>
      </c>
      <c r="G24" s="637">
        <f t="shared" si="8"/>
        <v>-2.8237849260184635</v>
      </c>
      <c r="H24" s="632">
        <f t="shared" si="9"/>
        <v>-2.9462594131576223</v>
      </c>
      <c r="I24" s="636">
        <f t="shared" si="3"/>
        <v>0</v>
      </c>
      <c r="J24" s="638">
        <f t="shared" si="4"/>
        <v>-6.8046858352223465</v>
      </c>
    </row>
    <row r="25" spans="1:13" x14ac:dyDescent="0.25">
      <c r="A25" s="635">
        <f t="shared" si="5"/>
        <v>71.5</v>
      </c>
      <c r="B25" s="636">
        <f t="shared" si="0"/>
        <v>0.42921576026646741</v>
      </c>
      <c r="C25" s="637">
        <f t="shared" si="1"/>
        <v>0</v>
      </c>
      <c r="D25" s="637">
        <f t="shared" si="6"/>
        <v>-2.6506696254700937</v>
      </c>
      <c r="E25" s="632">
        <f t="shared" si="7"/>
        <v>-2.7731441126092524</v>
      </c>
      <c r="F25" s="636">
        <f t="shared" si="2"/>
        <v>-7.2292019259598925</v>
      </c>
      <c r="G25" s="637">
        <f t="shared" si="8"/>
        <v>-2.6506696254700937</v>
      </c>
      <c r="H25" s="632">
        <f t="shared" si="9"/>
        <v>-2.7731441126092524</v>
      </c>
      <c r="I25" s="636">
        <f t="shared" si="3"/>
        <v>0</v>
      </c>
      <c r="J25" s="638">
        <f t="shared" si="4"/>
        <v>-6.7999861656934248</v>
      </c>
      <c r="M25" s="63"/>
    </row>
    <row r="26" spans="1:13" x14ac:dyDescent="0.25">
      <c r="A26" s="635">
        <f t="shared" si="5"/>
        <v>73</v>
      </c>
      <c r="B26" s="636">
        <f t="shared" si="0"/>
        <v>0.42921576026646741</v>
      </c>
      <c r="C26" s="637">
        <f t="shared" si="1"/>
        <v>0</v>
      </c>
      <c r="D26" s="637">
        <f t="shared" si="6"/>
        <v>-2.4811486751611627</v>
      </c>
      <c r="E26" s="632">
        <f t="shared" si="7"/>
        <v>-2.6036231623003214</v>
      </c>
      <c r="F26" s="636">
        <f t="shared" si="2"/>
        <v>-7.2214089913044859</v>
      </c>
      <c r="G26" s="637">
        <f t="shared" si="8"/>
        <v>-2.4811486751611627</v>
      </c>
      <c r="H26" s="632">
        <f t="shared" si="9"/>
        <v>-2.6036231623003214</v>
      </c>
      <c r="I26" s="636">
        <f t="shared" si="3"/>
        <v>0</v>
      </c>
      <c r="J26" s="638">
        <f t="shared" si="4"/>
        <v>-6.7921932310380182</v>
      </c>
    </row>
    <row r="27" spans="1:13" x14ac:dyDescent="0.25">
      <c r="A27" s="635">
        <f t="shared" si="5"/>
        <v>74.5</v>
      </c>
      <c r="B27" s="636">
        <f t="shared" si="0"/>
        <v>0.42921576026646741</v>
      </c>
      <c r="C27" s="637">
        <f t="shared" si="1"/>
        <v>0</v>
      </c>
      <c r="D27" s="637">
        <f t="shared" si="6"/>
        <v>-2.3150758487935597</v>
      </c>
      <c r="E27" s="632">
        <f t="shared" si="7"/>
        <v>-2.4375503359327184</v>
      </c>
      <c r="F27" s="636">
        <f t="shared" si="2"/>
        <v>-7.2089465178405918</v>
      </c>
      <c r="G27" s="637">
        <f t="shared" si="8"/>
        <v>-2.3150758487935597</v>
      </c>
      <c r="H27" s="632">
        <f t="shared" si="9"/>
        <v>-2.4375503359327184</v>
      </c>
      <c r="I27" s="636">
        <f t="shared" si="3"/>
        <v>0</v>
      </c>
      <c r="J27" s="638">
        <f t="shared" si="4"/>
        <v>-6.7797307575741241</v>
      </c>
    </row>
    <row r="28" spans="1:13" x14ac:dyDescent="0.25">
      <c r="A28" s="635">
        <f t="shared" si="5"/>
        <v>76</v>
      </c>
      <c r="B28" s="636">
        <f t="shared" si="0"/>
        <v>0.42921576026646741</v>
      </c>
      <c r="C28" s="637">
        <f t="shared" si="1"/>
        <v>0</v>
      </c>
      <c r="D28" s="637">
        <f t="shared" si="6"/>
        <v>-2.1523136656936015</v>
      </c>
      <c r="E28" s="632">
        <f t="shared" si="7"/>
        <v>-2.2747881528327603</v>
      </c>
      <c r="F28" s="636">
        <f t="shared" si="2"/>
        <v>-7.1896839205615501</v>
      </c>
      <c r="G28" s="637">
        <f t="shared" si="8"/>
        <v>-2.1523136656936015</v>
      </c>
      <c r="H28" s="632">
        <f t="shared" si="9"/>
        <v>-2.2747881528327603</v>
      </c>
      <c r="I28" s="636">
        <f t="shared" si="3"/>
        <v>0</v>
      </c>
      <c r="J28" s="638">
        <f t="shared" si="4"/>
        <v>-6.7604681602950825</v>
      </c>
    </row>
    <row r="29" spans="1:13" x14ac:dyDescent="0.25">
      <c r="A29" s="635">
        <f t="shared" si="5"/>
        <v>77.5</v>
      </c>
      <c r="B29" s="636">
        <f t="shared" si="0"/>
        <v>0.42921576026646741</v>
      </c>
      <c r="C29" s="637">
        <f t="shared" si="1"/>
        <v>0</v>
      </c>
      <c r="D29" s="637">
        <f t="shared" si="6"/>
        <v>-1.9927327070016649</v>
      </c>
      <c r="E29" s="632">
        <f t="shared" si="7"/>
        <v>-2.1152071941408237</v>
      </c>
      <c r="F29" s="636">
        <f t="shared" si="2"/>
        <v>-7.160849502398511</v>
      </c>
      <c r="G29" s="637">
        <f t="shared" si="8"/>
        <v>-1.9927327070016649</v>
      </c>
      <c r="H29" s="632">
        <f t="shared" si="9"/>
        <v>-2.1152071941408237</v>
      </c>
      <c r="I29" s="636">
        <f t="shared" si="3"/>
        <v>0</v>
      </c>
      <c r="J29" s="638">
        <f t="shared" si="4"/>
        <v>-6.7316337421320434</v>
      </c>
    </row>
    <row r="30" spans="1:13" x14ac:dyDescent="0.25">
      <c r="A30" s="635">
        <f t="shared" si="5"/>
        <v>79</v>
      </c>
      <c r="B30" s="636">
        <f t="shared" si="0"/>
        <v>0.42921576026646741</v>
      </c>
      <c r="C30" s="637">
        <f t="shared" si="1"/>
        <v>0</v>
      </c>
      <c r="D30" s="637">
        <f t="shared" si="6"/>
        <v>-1.8362109974154159</v>
      </c>
      <c r="E30" s="632">
        <f t="shared" si="7"/>
        <v>-1.9586854845545749</v>
      </c>
      <c r="F30" s="636">
        <f t="shared" si="2"/>
        <v>-7.118968452627116</v>
      </c>
      <c r="G30" s="637">
        <f t="shared" si="8"/>
        <v>-1.8362109974154159</v>
      </c>
      <c r="H30" s="632">
        <f t="shared" si="9"/>
        <v>-1.9586854845545749</v>
      </c>
      <c r="I30" s="636">
        <f t="shared" si="3"/>
        <v>0</v>
      </c>
      <c r="J30" s="638">
        <f t="shared" si="4"/>
        <v>-6.6897526923606483</v>
      </c>
    </row>
    <row r="31" spans="1:13" x14ac:dyDescent="0.25">
      <c r="A31" s="635">
        <f t="shared" si="5"/>
        <v>80.5</v>
      </c>
      <c r="B31" s="636">
        <f t="shared" si="0"/>
        <v>0.42921576026646741</v>
      </c>
      <c r="C31" s="637">
        <f t="shared" si="1"/>
        <v>0</v>
      </c>
      <c r="D31" s="637">
        <f t="shared" si="6"/>
        <v>-1.6826334450871132</v>
      </c>
      <c r="E31" s="632">
        <f t="shared" si="7"/>
        <v>-1.8051079322262722</v>
      </c>
      <c r="F31" s="636">
        <f t="shared" si="2"/>
        <v>-7.059838297288028</v>
      </c>
      <c r="G31" s="637">
        <f t="shared" si="8"/>
        <v>-1.6826334450871132</v>
      </c>
      <c r="H31" s="632">
        <f t="shared" si="9"/>
        <v>-1.8051079322262722</v>
      </c>
      <c r="I31" s="636">
        <f t="shared" si="3"/>
        <v>0</v>
      </c>
      <c r="J31" s="638">
        <f t="shared" si="4"/>
        <v>-6.6306225370215603</v>
      </c>
    </row>
    <row r="32" spans="1:13" x14ac:dyDescent="0.25">
      <c r="A32" s="635">
        <f t="shared" si="5"/>
        <v>82</v>
      </c>
      <c r="B32" s="636">
        <f t="shared" si="0"/>
        <v>0.42921576026646741</v>
      </c>
      <c r="C32" s="637">
        <f t="shared" si="1"/>
        <v>0</v>
      </c>
      <c r="D32" s="637">
        <f t="shared" si="6"/>
        <v>-1.5318913332319462</v>
      </c>
      <c r="E32" s="632">
        <f t="shared" si="7"/>
        <v>-1.6543658203711051</v>
      </c>
      <c r="F32" s="636">
        <f t="shared" si="2"/>
        <v>-6.9785522743833255</v>
      </c>
      <c r="G32" s="637">
        <f t="shared" si="8"/>
        <v>-1.5318913332319462</v>
      </c>
      <c r="H32" s="632">
        <f t="shared" si="9"/>
        <v>-1.6543658203711051</v>
      </c>
      <c r="I32" s="636">
        <f t="shared" si="3"/>
        <v>0</v>
      </c>
      <c r="J32" s="638">
        <f t="shared" si="4"/>
        <v>-6.5493365141168578</v>
      </c>
    </row>
    <row r="33" spans="1:10" x14ac:dyDescent="0.25">
      <c r="A33" s="635">
        <f t="shared" si="5"/>
        <v>83.5</v>
      </c>
      <c r="B33" s="636">
        <f t="shared" si="0"/>
        <v>0.42921576026646741</v>
      </c>
      <c r="C33" s="637">
        <f t="shared" si="1"/>
        <v>0</v>
      </c>
      <c r="D33" s="637">
        <f t="shared" si="6"/>
        <v>-1.3838818578221015</v>
      </c>
      <c r="E33" s="632">
        <f t="shared" si="7"/>
        <v>-1.5063563449612605</v>
      </c>
      <c r="F33" s="636">
        <f t="shared" si="2"/>
        <v>-6.8695770827370177</v>
      </c>
      <c r="G33" s="637">
        <f t="shared" si="8"/>
        <v>-1.3838818578221015</v>
      </c>
      <c r="H33" s="632">
        <f t="shared" si="9"/>
        <v>-1.5063563449612605</v>
      </c>
      <c r="I33" s="636">
        <f t="shared" si="3"/>
        <v>0</v>
      </c>
      <c r="J33" s="638">
        <f t="shared" si="4"/>
        <v>-6.44036132247055</v>
      </c>
    </row>
    <row r="34" spans="1:10" x14ac:dyDescent="0.25">
      <c r="A34" s="635">
        <f t="shared" si="5"/>
        <v>85</v>
      </c>
      <c r="B34" s="636">
        <f t="shared" si="0"/>
        <v>0.42921576026646741</v>
      </c>
      <c r="C34" s="637">
        <f t="shared" si="1"/>
        <v>0</v>
      </c>
      <c r="D34" s="637">
        <f t="shared" si="6"/>
        <v>-1.2385077064425036</v>
      </c>
      <c r="E34" s="632">
        <f t="shared" si="7"/>
        <v>-1.3609821935816626</v>
      </c>
      <c r="F34" s="636">
        <f t="shared" si="2"/>
        <v>-6.7268860580830907</v>
      </c>
      <c r="G34" s="637">
        <f t="shared" si="8"/>
        <v>-1.2385077064425036</v>
      </c>
      <c r="H34" s="632">
        <f t="shared" si="9"/>
        <v>-1.3609821935816626</v>
      </c>
      <c r="I34" s="636">
        <f t="shared" si="3"/>
        <v>0</v>
      </c>
      <c r="J34" s="638">
        <f t="shared" si="4"/>
        <v>-6.297670297816623</v>
      </c>
    </row>
    <row r="35" spans="1:10" x14ac:dyDescent="0.25">
      <c r="A35" s="635">
        <f t="shared" si="5"/>
        <v>86.5</v>
      </c>
      <c r="B35" s="636">
        <f t="shared" si="0"/>
        <v>0.42921576026646741</v>
      </c>
      <c r="C35" s="637">
        <f t="shared" si="1"/>
        <v>0</v>
      </c>
      <c r="D35" s="637">
        <f t="shared" si="6"/>
        <v>-1.0956766739872219</v>
      </c>
      <c r="E35" s="632">
        <f t="shared" si="7"/>
        <v>-1.2181511611263809</v>
      </c>
      <c r="F35" s="636">
        <f t="shared" si="2"/>
        <v>-6.5441428122596221</v>
      </c>
      <c r="G35" s="637">
        <f t="shared" si="8"/>
        <v>-1.0956766739872219</v>
      </c>
      <c r="H35" s="632">
        <f t="shared" si="9"/>
        <v>-1.2181511611263809</v>
      </c>
      <c r="I35" s="636">
        <f t="shared" si="3"/>
        <v>0</v>
      </c>
      <c r="J35" s="638">
        <f t="shared" si="4"/>
        <v>-6.1149270519931544</v>
      </c>
    </row>
    <row r="36" spans="1:10" x14ac:dyDescent="0.25">
      <c r="A36" s="635">
        <f t="shared" si="5"/>
        <v>88</v>
      </c>
      <c r="B36" s="636">
        <f t="shared" si="0"/>
        <v>0.42921576026646741</v>
      </c>
      <c r="C36" s="637">
        <f t="shared" si="1"/>
        <v>0</v>
      </c>
      <c r="D36" s="637">
        <f t="shared" si="6"/>
        <v>-0.95530131139567764</v>
      </c>
      <c r="E36" s="632">
        <f t="shared" si="7"/>
        <v>-1.0777757985348366</v>
      </c>
      <c r="F36" s="636">
        <f t="shared" si="2"/>
        <v>-6.3149246135614501</v>
      </c>
      <c r="G36" s="637">
        <f t="shared" si="8"/>
        <v>-0.95530131139567764</v>
      </c>
      <c r="H36" s="632">
        <f t="shared" si="9"/>
        <v>-1.0777757985348366</v>
      </c>
      <c r="I36" s="636">
        <f t="shared" si="3"/>
        <v>0</v>
      </c>
      <c r="J36" s="638">
        <f t="shared" si="4"/>
        <v>-5.8857088532949824</v>
      </c>
    </row>
    <row r="37" spans="1:10" x14ac:dyDescent="0.25">
      <c r="A37" s="635">
        <f t="shared" si="5"/>
        <v>89.5</v>
      </c>
      <c r="B37" s="636">
        <f t="shared" si="0"/>
        <v>0.42921576026646741</v>
      </c>
      <c r="C37" s="637">
        <f t="shared" si="1"/>
        <v>0</v>
      </c>
      <c r="D37" s="637">
        <f t="shared" si="6"/>
        <v>-0.81729860407754928</v>
      </c>
      <c r="E37" s="632">
        <f t="shared" si="7"/>
        <v>-0.93977309121670816</v>
      </c>
      <c r="F37" s="636">
        <f t="shared" si="2"/>
        <v>-6.0329701344963524</v>
      </c>
      <c r="G37" s="637">
        <f t="shared" si="8"/>
        <v>-0.81729860407754928</v>
      </c>
      <c r="H37" s="632">
        <f t="shared" si="9"/>
        <v>-0.93977309121670816</v>
      </c>
      <c r="I37" s="636">
        <f t="shared" si="3"/>
        <v>0</v>
      </c>
      <c r="J37" s="638">
        <f t="shared" si="4"/>
        <v>-5.6037543742298848</v>
      </c>
    </row>
    <row r="38" spans="1:10" x14ac:dyDescent="0.25">
      <c r="A38" s="635">
        <f t="shared" si="5"/>
        <v>91</v>
      </c>
      <c r="B38" s="636">
        <f t="shared" si="0"/>
        <v>0.42921576026646741</v>
      </c>
      <c r="C38" s="637">
        <f t="shared" si="1"/>
        <v>0</v>
      </c>
      <c r="D38" s="637">
        <f t="shared" si="6"/>
        <v>-0.68158967706522167</v>
      </c>
      <c r="E38" s="632">
        <f t="shared" si="7"/>
        <v>-0.80406416420438054</v>
      </c>
      <c r="F38" s="636">
        <f t="shared" si="2"/>
        <v>-5.6924333028940488</v>
      </c>
      <c r="G38" s="637">
        <f t="shared" si="8"/>
        <v>-0.68158967706522167</v>
      </c>
      <c r="H38" s="632">
        <f t="shared" si="9"/>
        <v>-0.80406416420438054</v>
      </c>
      <c r="I38" s="636">
        <f t="shared" si="3"/>
        <v>0</v>
      </c>
      <c r="J38" s="638">
        <f t="shared" si="4"/>
        <v>-5.2632175426275811</v>
      </c>
    </row>
    <row r="39" spans="1:10" x14ac:dyDescent="0.25">
      <c r="A39" s="635">
        <f t="shared" si="5"/>
        <v>92.5</v>
      </c>
      <c r="B39" s="636">
        <f t="shared" si="0"/>
        <v>0.42921576026646741</v>
      </c>
      <c r="C39" s="637">
        <f t="shared" si="1"/>
        <v>0</v>
      </c>
      <c r="D39" s="637">
        <f t="shared" si="6"/>
        <v>-0.54809952427157782</v>
      </c>
      <c r="E39" s="632">
        <f t="shared" si="7"/>
        <v>-0.67057401141073669</v>
      </c>
      <c r="F39" s="636">
        <f t="shared" si="2"/>
        <v>-5.2881242213245763</v>
      </c>
      <c r="G39" s="637">
        <f t="shared" si="8"/>
        <v>-0.54809952427157782</v>
      </c>
      <c r="H39" s="632">
        <f t="shared" si="9"/>
        <v>-0.67057401141073669</v>
      </c>
      <c r="I39" s="636">
        <f t="shared" si="3"/>
        <v>0</v>
      </c>
      <c r="J39" s="638">
        <f t="shared" si="4"/>
        <v>-4.8589084610581086</v>
      </c>
    </row>
    <row r="40" spans="1:10" x14ac:dyDescent="0.25">
      <c r="A40" s="635">
        <f t="shared" si="5"/>
        <v>94</v>
      </c>
      <c r="B40" s="636">
        <f t="shared" si="0"/>
        <v>0.42921576026646741</v>
      </c>
      <c r="C40" s="637">
        <f t="shared" si="1"/>
        <v>0</v>
      </c>
      <c r="D40" s="637">
        <f t="shared" si="6"/>
        <v>-0.41675675952624142</v>
      </c>
      <c r="E40" s="632">
        <f t="shared" si="7"/>
        <v>-0.53923124666540034</v>
      </c>
      <c r="F40" s="636">
        <f t="shared" si="2"/>
        <v>-4.8157194869666213</v>
      </c>
      <c r="G40" s="637">
        <f t="shared" si="8"/>
        <v>-0.41675675952624142</v>
      </c>
      <c r="H40" s="632">
        <f t="shared" si="9"/>
        <v>-0.53923124666540034</v>
      </c>
      <c r="I40" s="636">
        <f t="shared" si="3"/>
        <v>0</v>
      </c>
      <c r="J40" s="638">
        <f t="shared" si="4"/>
        <v>-4.3865037267001536</v>
      </c>
    </row>
    <row r="41" spans="1:10" x14ac:dyDescent="0.25">
      <c r="A41" s="635">
        <f t="shared" si="5"/>
        <v>95.5</v>
      </c>
      <c r="B41" s="636">
        <f t="shared" si="0"/>
        <v>0.42921576026646741</v>
      </c>
      <c r="C41" s="637">
        <f t="shared" si="1"/>
        <v>0</v>
      </c>
      <c r="D41" s="637">
        <f t="shared" si="6"/>
        <v>-0.28749338732128144</v>
      </c>
      <c r="E41" s="632">
        <f t="shared" si="7"/>
        <v>-0.40996787446044036</v>
      </c>
      <c r="F41" s="636">
        <f t="shared" si="2"/>
        <v>-4.271927455065093</v>
      </c>
      <c r="G41" s="637">
        <f t="shared" si="8"/>
        <v>-0.28749338732128144</v>
      </c>
      <c r="H41" s="632">
        <f t="shared" si="9"/>
        <v>-0.40996787446044036</v>
      </c>
      <c r="I41" s="636">
        <f t="shared" si="3"/>
        <v>0</v>
      </c>
      <c r="J41" s="638">
        <f t="shared" si="4"/>
        <v>-3.8427116947986257</v>
      </c>
    </row>
    <row r="42" spans="1:10" x14ac:dyDescent="0.25">
      <c r="A42" s="635">
        <f t="shared" si="5"/>
        <v>97</v>
      </c>
      <c r="B42" s="636">
        <f t="shared" si="0"/>
        <v>0.42921576026646741</v>
      </c>
      <c r="C42" s="637">
        <f t="shared" si="1"/>
        <v>0</v>
      </c>
      <c r="D42" s="637">
        <f t="shared" si="6"/>
        <v>-0.16024459142315722</v>
      </c>
      <c r="E42" s="632">
        <f t="shared" si="7"/>
        <v>-0.28271907856231615</v>
      </c>
      <c r="F42" s="636">
        <f t="shared" si="2"/>
        <v>-3.6545985152072369</v>
      </c>
      <c r="G42" s="637">
        <f t="shared" si="8"/>
        <v>-0.16024459142315722</v>
      </c>
      <c r="H42" s="632">
        <f t="shared" si="9"/>
        <v>-0.28271907856231615</v>
      </c>
      <c r="I42" s="636">
        <f t="shared" si="3"/>
        <v>0</v>
      </c>
      <c r="J42" s="638">
        <f t="shared" si="4"/>
        <v>-3.2253827549407696</v>
      </c>
    </row>
    <row r="43" spans="1:10" x14ac:dyDescent="0.25">
      <c r="A43" s="635">
        <f t="shared" si="5"/>
        <v>98.5</v>
      </c>
      <c r="B43" s="636">
        <f t="shared" si="0"/>
        <v>0.42921576026646741</v>
      </c>
      <c r="C43" s="637">
        <f t="shared" si="1"/>
        <v>0</v>
      </c>
      <c r="D43" s="637">
        <f t="shared" si="6"/>
        <v>-3.4948539705673153E-2</v>
      </c>
      <c r="E43" s="632">
        <f t="shared" si="7"/>
        <v>-0.15742302684483206</v>
      </c>
      <c r="F43" s="636">
        <f t="shared" si="2"/>
        <v>-2.9627756369923226</v>
      </c>
      <c r="G43" s="637">
        <f t="shared" si="8"/>
        <v>-3.4948539705673153E-2</v>
      </c>
      <c r="H43" s="632">
        <f t="shared" si="9"/>
        <v>-0.15742302684483206</v>
      </c>
      <c r="I43" s="636">
        <f t="shared" si="3"/>
        <v>0</v>
      </c>
      <c r="J43" s="638">
        <f t="shared" si="4"/>
        <v>-2.5335598767258554</v>
      </c>
    </row>
    <row r="44" spans="1:10" x14ac:dyDescent="0.25">
      <c r="A44" s="635">
        <f t="shared" si="5"/>
        <v>100</v>
      </c>
      <c r="B44" s="636">
        <f t="shared" si="0"/>
        <v>0.42921576026646741</v>
      </c>
      <c r="C44" s="637">
        <f t="shared" si="1"/>
        <v>0</v>
      </c>
      <c r="D44" s="637">
        <f t="shared" si="6"/>
        <v>8.8453796267170329E-2</v>
      </c>
      <c r="E44" s="632">
        <f t="shared" si="7"/>
        <v>-3.4020690871988571E-2</v>
      </c>
      <c r="F44" s="636">
        <f t="shared" si="2"/>
        <v>-2.1966856258159346</v>
      </c>
      <c r="G44" s="637">
        <f t="shared" si="8"/>
        <v>8.8453796267170329E-2</v>
      </c>
      <c r="H44" s="632">
        <f t="shared" si="9"/>
        <v>-3.4020690871988571E-2</v>
      </c>
      <c r="I44" s="636">
        <f t="shared" si="3"/>
        <v>0</v>
      </c>
      <c r="J44" s="638">
        <f t="shared" si="4"/>
        <v>-1.7674698655494672</v>
      </c>
    </row>
    <row r="45" spans="1:10" x14ac:dyDescent="0.25">
      <c r="A45" s="635">
        <f t="shared" si="5"/>
        <v>101.5</v>
      </c>
      <c r="B45" s="636">
        <f t="shared" si="0"/>
        <v>0.42921576026646741</v>
      </c>
      <c r="C45" s="637">
        <f t="shared" si="1"/>
        <v>0</v>
      </c>
      <c r="D45" s="637">
        <f t="shared" si="6"/>
        <v>0.21001880822622188</v>
      </c>
      <c r="E45" s="632">
        <f t="shared" si="7"/>
        <v>8.7544321087062976E-2</v>
      </c>
      <c r="F45" s="636">
        <f t="shared" si="2"/>
        <v>-1.3576761335169216</v>
      </c>
      <c r="G45" s="637">
        <f t="shared" si="8"/>
        <v>0.21001880822622188</v>
      </c>
      <c r="H45" s="632">
        <f t="shared" si="9"/>
        <v>8.7544321087062976E-2</v>
      </c>
      <c r="I45" s="636">
        <f t="shared" si="3"/>
        <v>0</v>
      </c>
      <c r="J45" s="638">
        <f t="shared" si="4"/>
        <v>-0.92846037325045416</v>
      </c>
    </row>
    <row r="46" spans="1:10" x14ac:dyDescent="0.25">
      <c r="A46" s="635">
        <f t="shared" si="5"/>
        <v>103</v>
      </c>
      <c r="B46" s="636">
        <f t="shared" si="0"/>
        <v>0.42921576026646741</v>
      </c>
      <c r="C46" s="637">
        <f t="shared" si="1"/>
        <v>0</v>
      </c>
      <c r="D46" s="637">
        <f t="shared" si="6"/>
        <v>0.32980040593256865</v>
      </c>
      <c r="E46" s="632">
        <f t="shared" si="7"/>
        <v>0.20732591879340975</v>
      </c>
      <c r="F46" s="636">
        <f t="shared" si="2"/>
        <v>-0.44810707079676959</v>
      </c>
      <c r="G46" s="637">
        <f t="shared" si="8"/>
        <v>0.32980040593256865</v>
      </c>
      <c r="H46" s="632">
        <f t="shared" si="9"/>
        <v>0.20732591879340975</v>
      </c>
      <c r="I46" s="636">
        <f t="shared" si="3"/>
        <v>0</v>
      </c>
      <c r="J46" s="638">
        <f t="shared" si="4"/>
        <v>-1.8891310530302186E-2</v>
      </c>
    </row>
    <row r="47" spans="1:10" x14ac:dyDescent="0.25">
      <c r="A47" s="635">
        <f t="shared" si="5"/>
        <v>104.5</v>
      </c>
      <c r="B47" s="636">
        <f t="shared" si="0"/>
        <v>0.42921576026646741</v>
      </c>
      <c r="C47" s="637">
        <f t="shared" si="1"/>
        <v>0</v>
      </c>
      <c r="D47" s="637">
        <f t="shared" si="6"/>
        <v>0.44785016072600703</v>
      </c>
      <c r="E47" s="632">
        <f t="shared" si="7"/>
        <v>0.32537567358684816</v>
      </c>
      <c r="F47" s="636">
        <f t="shared" si="2"/>
        <v>0.52879256640803973</v>
      </c>
      <c r="G47" s="637">
        <f t="shared" si="8"/>
        <v>0.44785016072600703</v>
      </c>
      <c r="H47" s="632">
        <f t="shared" si="9"/>
        <v>0.32537567358684816</v>
      </c>
      <c r="I47" s="636">
        <f t="shared" si="3"/>
        <v>0</v>
      </c>
      <c r="J47" s="638">
        <f t="shared" si="4"/>
        <v>0.95800832667450719</v>
      </c>
    </row>
    <row r="48" spans="1:10" x14ac:dyDescent="0.25">
      <c r="A48" s="635">
        <f t="shared" si="5"/>
        <v>106</v>
      </c>
      <c r="B48" s="636">
        <f t="shared" si="0"/>
        <v>0.42921576026646741</v>
      </c>
      <c r="C48" s="637">
        <f t="shared" si="1"/>
        <v>0</v>
      </c>
      <c r="D48" s="637">
        <f t="shared" si="6"/>
        <v>0.56421743884335096</v>
      </c>
      <c r="E48" s="632">
        <f t="shared" si="7"/>
        <v>0.44174295170419209</v>
      </c>
      <c r="F48" s="636">
        <f t="shared" si="2"/>
        <v>1.5690903666805731</v>
      </c>
      <c r="G48" s="637">
        <f t="shared" si="8"/>
        <v>0.56421743884335096</v>
      </c>
      <c r="H48" s="632">
        <f t="shared" si="9"/>
        <v>0.44174295170419209</v>
      </c>
      <c r="I48" s="636">
        <f t="shared" si="3"/>
        <v>0</v>
      </c>
      <c r="J48" s="638">
        <f t="shared" si="4"/>
        <v>1.9983061269470406</v>
      </c>
    </row>
    <row r="49" spans="1:10" x14ac:dyDescent="0.25">
      <c r="A49" s="635">
        <f t="shared" si="5"/>
        <v>107.5</v>
      </c>
      <c r="B49" s="636">
        <f t="shared" si="0"/>
        <v>0.42921576026646741</v>
      </c>
      <c r="C49" s="637">
        <f t="shared" si="1"/>
        <v>0</v>
      </c>
      <c r="D49" s="637">
        <f t="shared" si="6"/>
        <v>0.67894952536912889</v>
      </c>
      <c r="E49" s="632">
        <f t="shared" si="7"/>
        <v>0.55647503822997002</v>
      </c>
      <c r="F49" s="636">
        <f t="shared" si="2"/>
        <v>2.6683266836730901</v>
      </c>
      <c r="G49" s="637">
        <f t="shared" si="8"/>
        <v>0.67894952536912889</v>
      </c>
      <c r="H49" s="632">
        <f t="shared" si="9"/>
        <v>0.55647503822997002</v>
      </c>
      <c r="I49" s="636">
        <f t="shared" si="3"/>
        <v>0</v>
      </c>
      <c r="J49" s="638">
        <f t="shared" si="4"/>
        <v>3.0975424439395574</v>
      </c>
    </row>
    <row r="50" spans="1:10" x14ac:dyDescent="0.25">
      <c r="A50" s="635">
        <f t="shared" si="5"/>
        <v>109</v>
      </c>
      <c r="B50" s="636">
        <f t="shared" si="0"/>
        <v>0.42921576026646741</v>
      </c>
      <c r="C50" s="637">
        <f t="shared" si="1"/>
        <v>0</v>
      </c>
      <c r="D50" s="637">
        <f t="shared" si="6"/>
        <v>0.79209173959764478</v>
      </c>
      <c r="E50" s="632">
        <f t="shared" si="7"/>
        <v>0.66961725245848591</v>
      </c>
      <c r="F50" s="636">
        <f t="shared" si="2"/>
        <v>3.8216904123978743</v>
      </c>
      <c r="G50" s="637">
        <f t="shared" si="8"/>
        <v>0.79209173959764478</v>
      </c>
      <c r="H50" s="632">
        <f t="shared" si="9"/>
        <v>0.66961725245848591</v>
      </c>
      <c r="I50" s="636">
        <f t="shared" si="3"/>
        <v>0</v>
      </c>
      <c r="J50" s="638">
        <f t="shared" si="4"/>
        <v>4.250906172664342</v>
      </c>
    </row>
    <row r="51" spans="1:10" x14ac:dyDescent="0.25">
      <c r="A51" s="635">
        <f t="shared" si="5"/>
        <v>110.5</v>
      </c>
      <c r="B51" s="636">
        <f t="shared" si="0"/>
        <v>0.42921576026646741</v>
      </c>
      <c r="C51" s="637">
        <f t="shared" si="1"/>
        <v>0</v>
      </c>
      <c r="D51" s="637">
        <f t="shared" si="6"/>
        <v>0.90368754251073768</v>
      </c>
      <c r="E51" s="632">
        <f t="shared" si="7"/>
        <v>0.78121305537157881</v>
      </c>
      <c r="F51" s="636">
        <f t="shared" si="2"/>
        <v>5.0241852039259705</v>
      </c>
      <c r="G51" s="637">
        <f t="shared" si="8"/>
        <v>0.90368754251073768</v>
      </c>
      <c r="H51" s="632">
        <f t="shared" si="9"/>
        <v>0.78121305537157881</v>
      </c>
      <c r="I51" s="636">
        <f t="shared" si="3"/>
        <v>0</v>
      </c>
      <c r="J51" s="638">
        <f t="shared" si="4"/>
        <v>5.4534009641924381</v>
      </c>
    </row>
    <row r="52" spans="1:10" x14ac:dyDescent="0.25">
      <c r="A52" s="635">
        <f t="shared" si="5"/>
        <v>112</v>
      </c>
      <c r="B52" s="636">
        <f t="shared" si="0"/>
        <v>0.42921576026646741</v>
      </c>
      <c r="C52" s="637">
        <f t="shared" si="1"/>
        <v>0</v>
      </c>
      <c r="D52" s="637">
        <f t="shared" si="6"/>
        <v>1.0137786370091943</v>
      </c>
      <c r="E52" s="632">
        <f t="shared" si="7"/>
        <v>0.89130414987003548</v>
      </c>
      <c r="F52" s="636">
        <f t="shared" si="2"/>
        <v>6.2707791130335586</v>
      </c>
      <c r="G52" s="637">
        <f t="shared" si="8"/>
        <v>1.0137786370091943</v>
      </c>
      <c r="H52" s="632">
        <f t="shared" si="9"/>
        <v>0.89130414987003548</v>
      </c>
      <c r="I52" s="636">
        <f t="shared" si="3"/>
        <v>0</v>
      </c>
      <c r="J52" s="638">
        <f t="shared" si="4"/>
        <v>6.6999948733000263</v>
      </c>
    </row>
    <row r="53" spans="1:10" x14ac:dyDescent="0.25">
      <c r="A53" s="635">
        <f t="shared" si="5"/>
        <v>113.5</v>
      </c>
      <c r="B53" s="636">
        <f t="shared" si="0"/>
        <v>0.42921576026646741</v>
      </c>
      <c r="C53" s="637">
        <f t="shared" si="1"/>
        <v>0</v>
      </c>
      <c r="D53" s="637">
        <f t="shared" si="6"/>
        <v>1.122405061476246</v>
      </c>
      <c r="E53" s="632">
        <f t="shared" si="7"/>
        <v>0.9999305743370871</v>
      </c>
      <c r="F53" s="636">
        <f t="shared" si="2"/>
        <v>7.5565329484642696</v>
      </c>
      <c r="G53" s="637">
        <f t="shared" si="8"/>
        <v>1.122405061476246</v>
      </c>
      <c r="H53" s="632">
        <f t="shared" si="9"/>
        <v>0.9999305743370871</v>
      </c>
      <c r="I53" s="636">
        <f t="shared" si="3"/>
        <v>0</v>
      </c>
      <c r="J53" s="638">
        <f t="shared" si="4"/>
        <v>7.9857487087307373</v>
      </c>
    </row>
    <row r="54" spans="1:10" x14ac:dyDescent="0.25">
      <c r="A54" s="635">
        <f t="shared" si="5"/>
        <v>115</v>
      </c>
      <c r="B54" s="636">
        <f t="shared" si="0"/>
        <v>0.42921576026646741</v>
      </c>
      <c r="C54" s="637">
        <f t="shared" si="1"/>
        <v>0</v>
      </c>
      <c r="D54" s="637">
        <f t="shared" si="6"/>
        <v>1.2296052771985193</v>
      </c>
      <c r="E54" s="632">
        <f t="shared" si="7"/>
        <v>1.1071307900593603</v>
      </c>
      <c r="F54" s="636">
        <f t="shared" si="2"/>
        <v>8.8767047707457358</v>
      </c>
      <c r="G54" s="637">
        <f t="shared" si="8"/>
        <v>1.2296052771985193</v>
      </c>
      <c r="H54" s="632">
        <f t="shared" si="9"/>
        <v>1.1071307900593603</v>
      </c>
      <c r="I54" s="636">
        <f t="shared" si="3"/>
        <v>0</v>
      </c>
      <c r="J54" s="638">
        <f t="shared" si="4"/>
        <v>9.3059205310122035</v>
      </c>
    </row>
    <row r="55" spans="1:10" x14ac:dyDescent="0.25">
      <c r="A55" s="635">
        <f t="shared" si="5"/>
        <v>116.5</v>
      </c>
      <c r="B55" s="636">
        <f t="shared" si="0"/>
        <v>0.42921576026646741</v>
      </c>
      <c r="C55" s="637">
        <f t="shared" si="1"/>
        <v>0</v>
      </c>
      <c r="D55" s="637">
        <f t="shared" si="6"/>
        <v>1.3354162501220537</v>
      </c>
      <c r="E55" s="632">
        <f t="shared" si="7"/>
        <v>1.2129417629828947</v>
      </c>
      <c r="F55" s="636">
        <f t="shared" si="2"/>
        <v>10.226829895654991</v>
      </c>
      <c r="G55" s="637">
        <f t="shared" si="8"/>
        <v>1.3354162501220537</v>
      </c>
      <c r="H55" s="632">
        <f t="shared" si="9"/>
        <v>1.2129417629828947</v>
      </c>
      <c r="I55" s="636">
        <f t="shared" si="3"/>
        <v>0</v>
      </c>
      <c r="J55" s="638">
        <f t="shared" si="4"/>
        <v>10.656045655921458</v>
      </c>
    </row>
    <row r="56" spans="1:10" x14ac:dyDescent="0.25">
      <c r="A56" s="635">
        <f t="shared" si="5"/>
        <v>118</v>
      </c>
      <c r="B56" s="636">
        <f t="shared" si="0"/>
        <v>0.42921576026646741</v>
      </c>
      <c r="C56" s="637">
        <f t="shared" si="1"/>
        <v>0</v>
      </c>
      <c r="D56" s="637">
        <f t="shared" si="6"/>
        <v>1.4398735273782812</v>
      </c>
      <c r="E56" s="632">
        <f t="shared" si="7"/>
        <v>1.3173990402391222</v>
      </c>
      <c r="F56" s="636">
        <f t="shared" si="2"/>
        <v>11.602777313445703</v>
      </c>
      <c r="G56" s="637">
        <f t="shared" si="8"/>
        <v>1.4398735273782812</v>
      </c>
      <c r="H56" s="632">
        <f t="shared" si="9"/>
        <v>1.3173990402391222</v>
      </c>
      <c r="I56" s="636">
        <f t="shared" si="3"/>
        <v>0</v>
      </c>
      <c r="J56" s="638">
        <f t="shared" si="4"/>
        <v>12.031993073712171</v>
      </c>
    </row>
    <row r="57" spans="1:10" x14ac:dyDescent="0.25">
      <c r="A57" s="635">
        <f t="shared" si="5"/>
        <v>119.5</v>
      </c>
      <c r="B57" s="636">
        <f t="shared" si="0"/>
        <v>0.42921576026646741</v>
      </c>
      <c r="C57" s="637">
        <f t="shared" si="1"/>
        <v>0</v>
      </c>
      <c r="D57" s="637">
        <f t="shared" si="6"/>
        <v>1.5430113089764044</v>
      </c>
      <c r="E57" s="632">
        <f t="shared" si="7"/>
        <v>1.4205368218372454</v>
      </c>
      <c r="F57" s="636">
        <f t="shared" si="2"/>
        <v>13.000784583308945</v>
      </c>
      <c r="G57" s="637">
        <f t="shared" si="8"/>
        <v>1.5430113089764044</v>
      </c>
      <c r="H57" s="632">
        <f t="shared" si="9"/>
        <v>1.4205368218372454</v>
      </c>
      <c r="I57" s="636">
        <f t="shared" si="3"/>
        <v>0</v>
      </c>
      <c r="J57" s="638">
        <f t="shared" si="4"/>
        <v>13.430000343575413</v>
      </c>
    </row>
    <row r="58" spans="1:10" x14ac:dyDescent="0.25">
      <c r="A58" s="635">
        <f t="shared" si="5"/>
        <v>121</v>
      </c>
      <c r="B58" s="636">
        <f t="shared" si="0"/>
        <v>-0.57078423973353254</v>
      </c>
      <c r="C58" s="637">
        <f t="shared" si="1"/>
        <v>0</v>
      </c>
      <c r="D58" s="637">
        <f t="shared" si="6"/>
        <v>1.6448625150239313</v>
      </c>
      <c r="E58" s="632">
        <f t="shared" si="7"/>
        <v>1.5223880278847723</v>
      </c>
      <c r="F58" s="636">
        <f t="shared" si="2"/>
        <v>14.417474014515026</v>
      </c>
      <c r="G58" s="637">
        <f t="shared" si="8"/>
        <v>1.6448625150239313</v>
      </c>
      <c r="H58" s="632">
        <f t="shared" si="9"/>
        <v>1.5223880278847723</v>
      </c>
      <c r="I58" s="636">
        <f t="shared" si="3"/>
        <v>0</v>
      </c>
      <c r="J58" s="638">
        <f t="shared" si="4"/>
        <v>13.846689774781494</v>
      </c>
    </row>
    <row r="59" spans="1:10" x14ac:dyDescent="0.25">
      <c r="A59" s="635">
        <f t="shared" si="5"/>
        <v>122.5</v>
      </c>
      <c r="B59" s="636">
        <f t="shared" si="0"/>
        <v>-2.0707842397335328</v>
      </c>
      <c r="C59" s="637">
        <f t="shared" si="1"/>
        <v>0</v>
      </c>
      <c r="D59" s="637">
        <f t="shared" si="6"/>
        <v>1.7454588488060176</v>
      </c>
      <c r="E59" s="632">
        <f t="shared" si="7"/>
        <v>1.6229843616668587</v>
      </c>
      <c r="F59" s="636">
        <f t="shared" si="2"/>
        <v>15.849853339322681</v>
      </c>
      <c r="G59" s="637">
        <f t="shared" si="8"/>
        <v>1.7454588488060176</v>
      </c>
      <c r="H59" s="632">
        <f t="shared" si="9"/>
        <v>1.6229843616668587</v>
      </c>
      <c r="I59" s="636">
        <f t="shared" si="3"/>
        <v>0</v>
      </c>
      <c r="J59" s="638">
        <f t="shared" si="4"/>
        <v>13.779069099589149</v>
      </c>
    </row>
    <row r="60" spans="1:10" x14ac:dyDescent="0.25">
      <c r="A60" s="635">
        <f t="shared" si="5"/>
        <v>124</v>
      </c>
      <c r="B60" s="636">
        <f t="shared" si="0"/>
        <v>-3.5707842397335328</v>
      </c>
      <c r="C60" s="637">
        <f t="shared" si="1"/>
        <v>0</v>
      </c>
      <c r="D60" s="637">
        <f t="shared" si="6"/>
        <v>1.8448308560259916</v>
      </c>
      <c r="E60" s="632">
        <f t="shared" si="7"/>
        <v>1.7223563688868326</v>
      </c>
      <c r="F60" s="636">
        <f t="shared" si="2"/>
        <v>17.295304177863787</v>
      </c>
      <c r="G60" s="637">
        <f t="shared" si="8"/>
        <v>1.8448308560259916</v>
      </c>
      <c r="H60" s="632">
        <f t="shared" si="9"/>
        <v>1.7223563688868326</v>
      </c>
      <c r="I60" s="636">
        <f t="shared" si="3"/>
        <v>0</v>
      </c>
      <c r="J60" s="638">
        <f t="shared" si="4"/>
        <v>13.724519938130255</v>
      </c>
    </row>
    <row r="61" spans="1:10" x14ac:dyDescent="0.25">
      <c r="A61" s="635">
        <f t="shared" si="5"/>
        <v>125.5</v>
      </c>
      <c r="B61" s="636">
        <f t="shared" si="0"/>
        <v>-5.0707842397335323</v>
      </c>
      <c r="C61" s="637">
        <f t="shared" si="1"/>
        <v>0</v>
      </c>
      <c r="D61" s="637">
        <f t="shared" si="6"/>
        <v>1.943007980484079</v>
      </c>
      <c r="E61" s="632">
        <f t="shared" si="7"/>
        <v>1.82053349334492</v>
      </c>
      <c r="F61" s="636">
        <f t="shared" si="2"/>
        <v>18.751561460926315</v>
      </c>
      <c r="G61" s="637">
        <f t="shared" si="8"/>
        <v>1.943007980484079</v>
      </c>
      <c r="H61" s="632">
        <f t="shared" si="9"/>
        <v>1.82053349334492</v>
      </c>
      <c r="I61" s="636">
        <f t="shared" si="3"/>
        <v>0</v>
      </c>
      <c r="J61" s="638">
        <f t="shared" si="4"/>
        <v>13.680777221192782</v>
      </c>
    </row>
    <row r="62" spans="1:10" x14ac:dyDescent="0.25">
      <c r="A62" s="635">
        <f t="shared" si="5"/>
        <v>127</v>
      </c>
      <c r="B62" s="636">
        <f t="shared" si="0"/>
        <v>-6.5707842397335323</v>
      </c>
      <c r="C62" s="637">
        <f t="shared" si="1"/>
        <v>0</v>
      </c>
      <c r="D62" s="637">
        <f t="shared" si="6"/>
        <v>2.0400186164482284</v>
      </c>
      <c r="E62" s="632">
        <f t="shared" si="7"/>
        <v>1.9175441293090694</v>
      </c>
      <c r="F62" s="636">
        <f t="shared" si="2"/>
        <v>20.216686682172696</v>
      </c>
      <c r="G62" s="637">
        <f t="shared" si="8"/>
        <v>2.0400186164482284</v>
      </c>
      <c r="H62" s="632">
        <f t="shared" si="9"/>
        <v>1.9175441293090694</v>
      </c>
      <c r="I62" s="636">
        <f t="shared" si="3"/>
        <v>0</v>
      </c>
      <c r="J62" s="638">
        <f t="shared" si="4"/>
        <v>13.645902442439164</v>
      </c>
    </row>
    <row r="63" spans="1:10" x14ac:dyDescent="0.25">
      <c r="A63" s="635">
        <f t="shared" si="5"/>
        <v>128.5</v>
      </c>
      <c r="B63" s="636">
        <f t="shared" si="0"/>
        <v>-8.0707842397335323</v>
      </c>
      <c r="C63" s="637">
        <f t="shared" si="1"/>
        <v>0</v>
      </c>
      <c r="D63" s="637">
        <f t="shared" si="6"/>
        <v>2.1358901579501062</v>
      </c>
      <c r="E63" s="632">
        <f t="shared" si="7"/>
        <v>2.0134156708109474</v>
      </c>
      <c r="F63" s="636">
        <f t="shared" si="2"/>
        <v>21.689037459955774</v>
      </c>
      <c r="G63" s="637">
        <f t="shared" si="8"/>
        <v>2.1358901579501062</v>
      </c>
      <c r="H63" s="632">
        <f t="shared" si="9"/>
        <v>2.0134156708109474</v>
      </c>
      <c r="I63" s="636">
        <f t="shared" si="3"/>
        <v>0</v>
      </c>
      <c r="J63" s="638">
        <f t="shared" si="4"/>
        <v>13.618253220222241</v>
      </c>
    </row>
    <row r="64" spans="1:10" x14ac:dyDescent="0.25">
      <c r="A64" s="635">
        <f t="shared" si="5"/>
        <v>130</v>
      </c>
      <c r="B64" s="636">
        <f t="shared" si="0"/>
        <v>-9.5707842397335323</v>
      </c>
      <c r="C64" s="637">
        <f t="shared" si="1"/>
        <v>0</v>
      </c>
      <c r="D64" s="637">
        <f t="shared" si="6"/>
        <v>2.230649045220412</v>
      </c>
      <c r="E64" s="632">
        <f t="shared" si="7"/>
        <v>2.1081745580812532</v>
      </c>
      <c r="F64" s="636">
        <f t="shared" si="2"/>
        <v>23.167235453598909</v>
      </c>
      <c r="G64" s="637">
        <f t="shared" si="8"/>
        <v>2.230649045220412</v>
      </c>
      <c r="H64" s="632">
        <f t="shared" si="9"/>
        <v>2.1081745580812532</v>
      </c>
      <c r="I64" s="636">
        <f t="shared" si="3"/>
        <v>0</v>
      </c>
      <c r="J64" s="638">
        <f t="shared" si="4"/>
        <v>13.596451213865377</v>
      </c>
    </row>
    <row r="65" spans="1:10" x14ac:dyDescent="0.25">
      <c r="A65" s="635">
        <f t="shared" si="5"/>
        <v>131.5</v>
      </c>
      <c r="B65" s="636">
        <f t="shared" si="0"/>
        <v>-11.070784239733532</v>
      </c>
      <c r="C65" s="637">
        <f t="shared" si="1"/>
        <v>0</v>
      </c>
      <c r="D65" s="637">
        <f t="shared" si="6"/>
        <v>2.3243208084603881</v>
      </c>
      <c r="E65" s="632">
        <f t="shared" si="7"/>
        <v>2.2018463213212294</v>
      </c>
      <c r="F65" s="636">
        <f t="shared" si="2"/>
        <v>24.650134241128914</v>
      </c>
      <c r="G65" s="637">
        <f t="shared" si="8"/>
        <v>2.3243208084603881</v>
      </c>
      <c r="H65" s="632">
        <f t="shared" si="9"/>
        <v>2.2018463213212294</v>
      </c>
      <c r="I65" s="636">
        <f t="shared" si="3"/>
        <v>0</v>
      </c>
      <c r="J65" s="638">
        <f t="shared" si="4"/>
        <v>13.579350001395381</v>
      </c>
    </row>
    <row r="66" spans="1:10" x14ac:dyDescent="0.25">
      <c r="A66" s="635">
        <f t="shared" si="5"/>
        <v>133</v>
      </c>
      <c r="B66" s="636">
        <f t="shared" si="0"/>
        <v>-12.570784239733532</v>
      </c>
      <c r="C66" s="637">
        <f t="shared" si="1"/>
        <v>0</v>
      </c>
      <c r="D66" s="637">
        <f t="shared" si="6"/>
        <v>2.4169301091308797</v>
      </c>
      <c r="E66" s="632">
        <f t="shared" si="7"/>
        <v>2.2944556219917209</v>
      </c>
      <c r="F66" s="636">
        <f t="shared" si="2"/>
        <v>26.136788354575661</v>
      </c>
      <c r="G66" s="637">
        <f t="shared" si="8"/>
        <v>2.4169301091308797</v>
      </c>
      <c r="H66" s="632">
        <f t="shared" si="9"/>
        <v>2.2944556219917209</v>
      </c>
      <c r="I66" s="636">
        <f t="shared" si="3"/>
        <v>0</v>
      </c>
      <c r="J66" s="638">
        <f t="shared" si="4"/>
        <v>13.566004114842128</v>
      </c>
    </row>
    <row r="67" spans="1:10" x14ac:dyDescent="0.25">
      <c r="A67" s="635">
        <f t="shared" si="5"/>
        <v>134.5</v>
      </c>
      <c r="B67" s="636">
        <f t="shared" si="0"/>
        <v>-14.070784239733532</v>
      </c>
      <c r="C67" s="637">
        <f t="shared" si="1"/>
        <v>0</v>
      </c>
      <c r="D67" s="637">
        <f t="shared" si="6"/>
        <v>2.5085007789259453</v>
      </c>
      <c r="E67" s="632">
        <f t="shared" si="7"/>
        <v>2.3860262917867865</v>
      </c>
      <c r="F67" s="636">
        <f t="shared" si="2"/>
        <v>27.626424303983175</v>
      </c>
      <c r="G67" s="637">
        <f t="shared" si="8"/>
        <v>2.5085007789259453</v>
      </c>
      <c r="H67" s="632">
        <f t="shared" si="9"/>
        <v>2.3860262917867865</v>
      </c>
      <c r="I67" s="636">
        <f t="shared" si="3"/>
        <v>0</v>
      </c>
      <c r="J67" s="638">
        <f t="shared" si="4"/>
        <v>13.555640064249642</v>
      </c>
    </row>
    <row r="68" spans="1:10" x14ac:dyDescent="0.25">
      <c r="A68" s="635">
        <f t="shared" si="5"/>
        <v>136</v>
      </c>
      <c r="B68" s="636">
        <f t="shared" si="0"/>
        <v>-15.570784239733532</v>
      </c>
      <c r="C68" s="637">
        <f t="shared" si="1"/>
        <v>0</v>
      </c>
      <c r="D68" s="637">
        <f t="shared" si="6"/>
        <v>2.5990558565851538</v>
      </c>
      <c r="E68" s="632">
        <f t="shared" si="7"/>
        <v>2.4765813694459951</v>
      </c>
      <c r="F68" s="636">
        <f t="shared" si="2"/>
        <v>29.11841411216513</v>
      </c>
      <c r="G68" s="637">
        <f t="shared" si="8"/>
        <v>2.5990558565851538</v>
      </c>
      <c r="H68" s="632">
        <f t="shared" si="9"/>
        <v>2.4765813694459951</v>
      </c>
      <c r="I68" s="636">
        <f t="shared" si="3"/>
        <v>0</v>
      </c>
      <c r="J68" s="638">
        <f t="shared" si="4"/>
        <v>13.547629872431598</v>
      </c>
    </row>
    <row r="69" spans="1:10" x14ac:dyDescent="0.25">
      <c r="A69" s="635">
        <f t="shared" si="5"/>
        <v>137.5</v>
      </c>
      <c r="B69" s="636">
        <f t="shared" ref="B69:B104" si="13">(MAX(IF($B$1="C",1,-1)*(A69-$O$5),0)-IF($O$10="Y",$O$13*EXP($O$6*$O$9),0))*$O$4</f>
        <v>-17.070784239733534</v>
      </c>
      <c r="C69" s="637">
        <f t="shared" ref="C69:C104" si="14">(MAX(IF($C$1="C",1,-1)*(A69-$P$5),0)-IF($O$10="Y",$P$13*EXP($O$6*$P$9),0))*$P$4</f>
        <v>0</v>
      </c>
      <c r="D69" s="637">
        <f t="shared" si="6"/>
        <v>2.6886176226867793</v>
      </c>
      <c r="E69" s="632">
        <f t="shared" si="7"/>
        <v>2.5661431355476205</v>
      </c>
      <c r="F69" s="636">
        <f t="shared" ref="F69:F104" si="15">(IF($D$1="C",(A69*EXP(-$O$7*($Q$9-$O$9))*NORMSDIST(D69))-($Q$5*EXP(-$O$6*($Q$9-$O$9))*NORMSDIST(E69)),(-A69*EXP(-$O$7*($Q$9-$O$9))*NORMSDIST(-D69))+($Q$5*EXP(-$O$6*($Q$9-$O$9))*NORMSDIST(-E69)))-IF($O$10="Y",$Q$13*EXP($O$6*$O$9),0))*$Q$4</f>
        <v>30.612251631960181</v>
      </c>
      <c r="G69" s="637">
        <f t="shared" si="8"/>
        <v>2.6886176226867793</v>
      </c>
      <c r="H69" s="632">
        <f t="shared" si="9"/>
        <v>2.5661431355476205</v>
      </c>
      <c r="I69" s="636">
        <f t="shared" ref="I69:I104" si="16">(IF($G$1="C",(A69*EXP(-$O$7*($R$9-$P$9))*NORMSDIST(G69))-($R$5*EXP(-$O$6*($R$9-$P$9))*NORMSDIST(H69)),(-A69*EXP(-$O$7*($R$9-$P$9))*NORMSDIST(-G69))+($R$5*EXP(-$O$6*($R$9-$P$9))*NORMSDIST(-H69)))-IF($O$10="Y",$R$13*EXP($O$6*$P$9),0))*$R$4</f>
        <v>0</v>
      </c>
      <c r="J69" s="638">
        <f t="shared" ref="J69:J104" si="17">B69+C69+F69+I69</f>
        <v>13.541467392226647</v>
      </c>
    </row>
    <row r="70" spans="1:10" x14ac:dyDescent="0.25">
      <c r="A70" s="635">
        <f t="shared" ref="A70:A104" si="18">A69+1.5</f>
        <v>139</v>
      </c>
      <c r="B70" s="636">
        <f t="shared" si="13"/>
        <v>-18.570784239733534</v>
      </c>
      <c r="C70" s="637">
        <f t="shared" si="14"/>
        <v>0</v>
      </c>
      <c r="D70" s="637">
        <f t="shared" ref="D70:D104" si="19">(LN(A70/$Q$5)+(($O$6-$O$7+(0.5*$O$8*$O$8))*($Q$9-$O$9)))/($O$8*SQRT($Q$9-$O$9))</f>
        <v>2.7772076325533859</v>
      </c>
      <c r="E70" s="632">
        <f t="shared" ref="E70:E104" si="20">D70-($O$8*SQRT($Q$9-$O$9))</f>
        <v>2.6547331454142271</v>
      </c>
      <c r="F70" s="636">
        <f t="shared" si="15"/>
        <v>32.1075317242518</v>
      </c>
      <c r="G70" s="637">
        <f t="shared" ref="G70:G104" si="21">(LN(A70/$R$5)+(($O$6-$O$7+(0.5*$O$8*$O$8))*($R$9-$P$9)))/($O$8*SQRT($R$9-$P$9))</f>
        <v>2.7772076325533859</v>
      </c>
      <c r="H70" s="632">
        <f t="shared" ref="H70:H104" si="22">G70-($O$8*SQRT($R$9-$P$9))</f>
        <v>2.6547331454142271</v>
      </c>
      <c r="I70" s="636">
        <f t="shared" si="16"/>
        <v>0</v>
      </c>
      <c r="J70" s="638">
        <f t="shared" si="17"/>
        <v>13.536747484518266</v>
      </c>
    </row>
    <row r="71" spans="1:10" x14ac:dyDescent="0.25">
      <c r="A71" s="635">
        <f t="shared" si="18"/>
        <v>140.5</v>
      </c>
      <c r="B71" s="636">
        <f t="shared" si="13"/>
        <v>-20.070784239733534</v>
      </c>
      <c r="C71" s="637">
        <f t="shared" si="14"/>
        <v>0</v>
      </c>
      <c r="D71" s="637">
        <f t="shared" si="19"/>
        <v>2.8648467473913448</v>
      </c>
      <c r="E71" s="632">
        <f t="shared" si="20"/>
        <v>2.7423722602521861</v>
      </c>
      <c r="F71" s="636">
        <f t="shared" si="15"/>
        <v>33.60393223300251</v>
      </c>
      <c r="G71" s="637">
        <f t="shared" si="21"/>
        <v>2.8648467473913448</v>
      </c>
      <c r="H71" s="632">
        <f t="shared" si="22"/>
        <v>2.7423722602521861</v>
      </c>
      <c r="I71" s="636">
        <f t="shared" si="16"/>
        <v>0</v>
      </c>
      <c r="J71" s="638">
        <f t="shared" si="17"/>
        <v>13.533147993268976</v>
      </c>
    </row>
    <row r="72" spans="1:10" x14ac:dyDescent="0.25">
      <c r="A72" s="635">
        <f t="shared" si="18"/>
        <v>142</v>
      </c>
      <c r="B72" s="636">
        <f t="shared" si="13"/>
        <v>-21.570784239733534</v>
      </c>
      <c r="C72" s="637">
        <f t="shared" si="14"/>
        <v>0</v>
      </c>
      <c r="D72" s="637">
        <f t="shared" si="19"/>
        <v>2.9515551637768236</v>
      </c>
      <c r="E72" s="632">
        <f t="shared" si="20"/>
        <v>2.8290806766376648</v>
      </c>
      <c r="F72" s="636">
        <f t="shared" si="15"/>
        <v>35.101198595879723</v>
      </c>
      <c r="G72" s="637">
        <f t="shared" si="21"/>
        <v>2.9515551637768236</v>
      </c>
      <c r="H72" s="632">
        <f t="shared" si="22"/>
        <v>2.8290806766376648</v>
      </c>
      <c r="I72" s="636">
        <f t="shared" si="16"/>
        <v>0</v>
      </c>
      <c r="J72" s="638">
        <f t="shared" si="17"/>
        <v>13.530414356146188</v>
      </c>
    </row>
    <row r="73" spans="1:10" x14ac:dyDescent="0.25">
      <c r="A73" s="635">
        <f t="shared" si="18"/>
        <v>143.5</v>
      </c>
      <c r="B73" s="636">
        <f t="shared" si="13"/>
        <v>-23.070784239733534</v>
      </c>
      <c r="C73" s="637">
        <f t="shared" si="14"/>
        <v>0</v>
      </c>
      <c r="D73" s="637">
        <f t="shared" si="19"/>
        <v>3.0373524415925348</v>
      </c>
      <c r="E73" s="632">
        <f t="shared" si="20"/>
        <v>2.9148779544533761</v>
      </c>
      <c r="F73" s="636">
        <f t="shared" si="15"/>
        <v>36.599130867894402</v>
      </c>
      <c r="G73" s="637">
        <f t="shared" si="21"/>
        <v>3.0373524415925348</v>
      </c>
      <c r="H73" s="632">
        <f t="shared" si="22"/>
        <v>2.9148779544533761</v>
      </c>
      <c r="I73" s="636">
        <f t="shared" si="16"/>
        <v>0</v>
      </c>
      <c r="J73" s="638">
        <f t="shared" si="17"/>
        <v>13.528346628160868</v>
      </c>
    </row>
    <row r="74" spans="1:10" x14ac:dyDescent="0.25">
      <c r="A74" s="635">
        <f t="shared" si="18"/>
        <v>145</v>
      </c>
      <c r="B74" s="636">
        <f t="shared" si="13"/>
        <v>-24.570784239733534</v>
      </c>
      <c r="C74" s="637">
        <f t="shared" si="14"/>
        <v>0</v>
      </c>
      <c r="D74" s="637">
        <f t="shared" si="19"/>
        <v>3.1222575305118561</v>
      </c>
      <c r="E74" s="632">
        <f t="shared" si="20"/>
        <v>2.9997830433726973</v>
      </c>
      <c r="F74" s="636">
        <f t="shared" si="15"/>
        <v>38.09757290310769</v>
      </c>
      <c r="G74" s="637">
        <f t="shared" si="21"/>
        <v>3.1222575305118561</v>
      </c>
      <c r="H74" s="632">
        <f t="shared" si="22"/>
        <v>2.9997830433726973</v>
      </c>
      <c r="I74" s="636">
        <f t="shared" si="16"/>
        <v>0</v>
      </c>
      <c r="J74" s="638">
        <f t="shared" si="17"/>
        <v>13.526788663374155</v>
      </c>
    </row>
    <row r="75" spans="1:10" x14ac:dyDescent="0.25">
      <c r="A75" s="635">
        <f t="shared" si="18"/>
        <v>146.5</v>
      </c>
      <c r="B75" s="636">
        <f t="shared" si="13"/>
        <v>-26.070784239733534</v>
      </c>
      <c r="C75" s="637">
        <f t="shared" si="14"/>
        <v>0</v>
      </c>
      <c r="D75" s="637">
        <f t="shared" si="19"/>
        <v>3.2062887951200842</v>
      </c>
      <c r="E75" s="632">
        <f t="shared" si="20"/>
        <v>3.0838143079809255</v>
      </c>
      <c r="F75" s="636">
        <f t="shared" si="15"/>
        <v>39.596403428793039</v>
      </c>
      <c r="G75" s="637">
        <f t="shared" si="21"/>
        <v>3.2062887951200842</v>
      </c>
      <c r="H75" s="632">
        <f t="shared" si="22"/>
        <v>3.0838143079809255</v>
      </c>
      <c r="I75" s="636">
        <f t="shared" si="16"/>
        <v>0</v>
      </c>
      <c r="J75" s="638">
        <f t="shared" si="17"/>
        <v>13.525619189059505</v>
      </c>
    </row>
    <row r="76" spans="1:10" x14ac:dyDescent="0.25">
      <c r="A76" s="635">
        <f t="shared" si="18"/>
        <v>148</v>
      </c>
      <c r="B76" s="636">
        <f t="shared" si="13"/>
        <v>-27.570784239733534</v>
      </c>
      <c r="C76" s="637">
        <f t="shared" si="14"/>
        <v>0</v>
      </c>
      <c r="D76" s="637">
        <f t="shared" si="19"/>
        <v>3.2894640387560785</v>
      </c>
      <c r="E76" s="632">
        <f t="shared" si="20"/>
        <v>3.1669895516169198</v>
      </c>
      <c r="F76" s="636">
        <f t="shared" si="15"/>
        <v>41.095528751292221</v>
      </c>
      <c r="G76" s="637">
        <f t="shared" si="21"/>
        <v>3.2894640387560785</v>
      </c>
      <c r="H76" s="632">
        <f t="shared" si="22"/>
        <v>3.1669895516169198</v>
      </c>
      <c r="I76" s="636">
        <f t="shared" si="16"/>
        <v>0</v>
      </c>
      <c r="J76" s="638">
        <f t="shared" si="17"/>
        <v>13.524744511558687</v>
      </c>
    </row>
    <row r="77" spans="1:10" x14ac:dyDescent="0.25">
      <c r="A77" s="635">
        <f t="shared" si="18"/>
        <v>149.5</v>
      </c>
      <c r="B77" s="636">
        <f t="shared" si="13"/>
        <v>-29.070784239733534</v>
      </c>
      <c r="C77" s="637">
        <f t="shared" si="14"/>
        <v>0</v>
      </c>
      <c r="D77" s="637">
        <f t="shared" si="19"/>
        <v>3.3718005261517616</v>
      </c>
      <c r="E77" s="632">
        <f t="shared" si="20"/>
        <v>3.2493260390126029</v>
      </c>
      <c r="F77" s="636">
        <f t="shared" si="15"/>
        <v>42.594876848046823</v>
      </c>
      <c r="G77" s="637">
        <f t="shared" si="21"/>
        <v>3.3718005261517616</v>
      </c>
      <c r="H77" s="632">
        <f t="shared" si="22"/>
        <v>3.2493260390126029</v>
      </c>
      <c r="I77" s="636">
        <f t="shared" si="16"/>
        <v>0</v>
      </c>
      <c r="J77" s="638">
        <f t="shared" si="17"/>
        <v>13.524092608313289</v>
      </c>
    </row>
    <row r="78" spans="1:10" x14ac:dyDescent="0.25">
      <c r="A78" s="635">
        <f t="shared" si="18"/>
        <v>151</v>
      </c>
      <c r="B78" s="636">
        <f t="shared" si="13"/>
        <v>-30.570784239733534</v>
      </c>
      <c r="C78" s="637">
        <f t="shared" si="14"/>
        <v>0</v>
      </c>
      <c r="D78" s="637">
        <f t="shared" si="19"/>
        <v>3.4533150049414516</v>
      </c>
      <c r="E78" s="632">
        <f t="shared" si="20"/>
        <v>3.3308405178022928</v>
      </c>
      <c r="F78" s="636">
        <f t="shared" si="15"/>
        <v>44.094392621835283</v>
      </c>
      <c r="G78" s="637">
        <f t="shared" si="21"/>
        <v>3.4533150049414516</v>
      </c>
      <c r="H78" s="632">
        <f t="shared" si="22"/>
        <v>3.3308405178022928</v>
      </c>
      <c r="I78" s="636">
        <f t="shared" si="16"/>
        <v>0</v>
      </c>
      <c r="J78" s="638">
        <f t="shared" si="17"/>
        <v>13.523608382101749</v>
      </c>
    </row>
    <row r="79" spans="1:10" x14ac:dyDescent="0.25">
      <c r="A79" s="635">
        <f t="shared" si="18"/>
        <v>152.5</v>
      </c>
      <c r="B79" s="636">
        <f t="shared" si="13"/>
        <v>-32.070784239733534</v>
      </c>
      <c r="C79" s="637">
        <f t="shared" si="14"/>
        <v>0</v>
      </c>
      <c r="D79" s="637">
        <f t="shared" si="19"/>
        <v>3.5340237261080945</v>
      </c>
      <c r="E79" s="632">
        <f t="shared" si="20"/>
        <v>3.4115492389689357</v>
      </c>
      <c r="F79" s="636">
        <f t="shared" si="15"/>
        <v>45.594034117978325</v>
      </c>
      <c r="G79" s="637">
        <f t="shared" si="21"/>
        <v>3.5340237261080945</v>
      </c>
      <c r="H79" s="632">
        <f t="shared" si="22"/>
        <v>3.4115492389689357</v>
      </c>
      <c r="I79" s="636">
        <f t="shared" si="16"/>
        <v>0</v>
      </c>
      <c r="J79" s="638">
        <f t="shared" si="17"/>
        <v>13.523249878244791</v>
      </c>
    </row>
    <row r="80" spans="1:10" x14ac:dyDescent="0.25">
      <c r="A80" s="635">
        <f t="shared" si="18"/>
        <v>154</v>
      </c>
      <c r="B80" s="636">
        <f t="shared" si="13"/>
        <v>-33.570784239733534</v>
      </c>
      <c r="C80" s="637">
        <f t="shared" si="14"/>
        <v>0</v>
      </c>
      <c r="D80" s="637">
        <f t="shared" si="19"/>
        <v>3.6139424634288031</v>
      </c>
      <c r="E80" s="632">
        <f t="shared" si="20"/>
        <v>3.4914679762896443</v>
      </c>
      <c r="F80" s="636">
        <f t="shared" si="15"/>
        <v>47.093769530918621</v>
      </c>
      <c r="G80" s="637">
        <f t="shared" si="21"/>
        <v>3.6139424634288031</v>
      </c>
      <c r="H80" s="632">
        <f t="shared" si="22"/>
        <v>3.4914679762896443</v>
      </c>
      <c r="I80" s="636">
        <f t="shared" si="16"/>
        <v>0</v>
      </c>
      <c r="J80" s="638">
        <f t="shared" si="17"/>
        <v>13.522985291185087</v>
      </c>
    </row>
    <row r="81" spans="1:10" x14ac:dyDescent="0.25">
      <c r="A81" s="635">
        <f t="shared" si="18"/>
        <v>155.5</v>
      </c>
      <c r="B81" s="636">
        <f t="shared" si="13"/>
        <v>-35.070784239733534</v>
      </c>
      <c r="C81" s="637">
        <f t="shared" si="14"/>
        <v>0</v>
      </c>
      <c r="D81" s="637">
        <f t="shared" si="19"/>
        <v>3.6930865319779205</v>
      </c>
      <c r="E81" s="632">
        <f t="shared" si="20"/>
        <v>3.5706120448387617</v>
      </c>
      <c r="F81" s="636">
        <f t="shared" si="15"/>
        <v>48.593574851561925</v>
      </c>
      <c r="G81" s="637">
        <f t="shared" si="21"/>
        <v>3.6930865319779205</v>
      </c>
      <c r="H81" s="632">
        <f t="shared" si="22"/>
        <v>3.5706120448387617</v>
      </c>
      <c r="I81" s="636">
        <f t="shared" si="16"/>
        <v>0</v>
      </c>
      <c r="J81" s="638">
        <f t="shared" si="17"/>
        <v>13.522790611828391</v>
      </c>
    </row>
    <row r="82" spans="1:10" x14ac:dyDescent="0.25">
      <c r="A82" s="635">
        <f t="shared" si="18"/>
        <v>157</v>
      </c>
      <c r="B82" s="636">
        <f t="shared" si="13"/>
        <v>-36.570784239733534</v>
      </c>
      <c r="C82" s="637">
        <f t="shared" si="14"/>
        <v>0</v>
      </c>
      <c r="D82" s="637">
        <f t="shared" si="19"/>
        <v>3.7714708057419037</v>
      </c>
      <c r="E82" s="632">
        <f t="shared" si="20"/>
        <v>3.648996318602745</v>
      </c>
      <c r="F82" s="636">
        <f t="shared" si="15"/>
        <v>50.093432030075746</v>
      </c>
      <c r="G82" s="637">
        <f t="shared" si="21"/>
        <v>3.7714708057419037</v>
      </c>
      <c r="H82" s="632">
        <f t="shared" si="22"/>
        <v>3.648996318602745</v>
      </c>
      <c r="I82" s="636">
        <f t="shared" si="16"/>
        <v>0</v>
      </c>
      <c r="J82" s="638">
        <f t="shared" si="17"/>
        <v>13.522647790342212</v>
      </c>
    </row>
    <row r="83" spans="1:10" x14ac:dyDescent="0.25">
      <c r="A83" s="635">
        <f t="shared" si="18"/>
        <v>158.5</v>
      </c>
      <c r="B83" s="636">
        <f t="shared" si="13"/>
        <v>-38.070784239733534</v>
      </c>
      <c r="C83" s="637">
        <f t="shared" si="14"/>
        <v>0</v>
      </c>
      <c r="D83" s="637">
        <f t="shared" si="19"/>
        <v>3.849109734396678</v>
      </c>
      <c r="E83" s="632">
        <f t="shared" si="20"/>
        <v>3.7266352472575193</v>
      </c>
      <c r="F83" s="636">
        <f t="shared" si="15"/>
        <v>51.59332754990065</v>
      </c>
      <c r="G83" s="637">
        <f t="shared" si="21"/>
        <v>3.849109734396678</v>
      </c>
      <c r="H83" s="632">
        <f t="shared" si="22"/>
        <v>3.7266352472575193</v>
      </c>
      <c r="I83" s="636">
        <f t="shared" si="16"/>
        <v>0</v>
      </c>
      <c r="J83" s="638">
        <f t="shared" si="17"/>
        <v>13.522543310167116</v>
      </c>
    </row>
    <row r="84" spans="1:10" x14ac:dyDescent="0.25">
      <c r="A84" s="635">
        <f t="shared" si="18"/>
        <v>160</v>
      </c>
      <c r="B84" s="636">
        <f t="shared" si="13"/>
        <v>-39.570784239733534</v>
      </c>
      <c r="C84" s="637">
        <f t="shared" si="14"/>
        <v>0</v>
      </c>
      <c r="D84" s="637">
        <f t="shared" si="19"/>
        <v>3.9260173592948275</v>
      </c>
      <c r="E84" s="632">
        <f t="shared" si="20"/>
        <v>3.8035428721556688</v>
      </c>
      <c r="F84" s="636">
        <f t="shared" si="15"/>
        <v>53.093251327279745</v>
      </c>
      <c r="G84" s="637">
        <f t="shared" si="21"/>
        <v>3.9260173592948275</v>
      </c>
      <c r="H84" s="632">
        <f t="shared" si="22"/>
        <v>3.8035428721556688</v>
      </c>
      <c r="I84" s="636">
        <f t="shared" si="16"/>
        <v>0</v>
      </c>
      <c r="J84" s="638">
        <f t="shared" si="17"/>
        <v>13.522467087546211</v>
      </c>
    </row>
    <row r="85" spans="1:10" x14ac:dyDescent="0.25">
      <c r="A85" s="635">
        <f t="shared" si="18"/>
        <v>161.5</v>
      </c>
      <c r="B85" s="636">
        <f t="shared" si="13"/>
        <v>-41.070784239733534</v>
      </c>
      <c r="C85" s="637">
        <f t="shared" si="14"/>
        <v>0</v>
      </c>
      <c r="D85" s="637">
        <f t="shared" si="19"/>
        <v>4.002207328706838</v>
      </c>
      <c r="E85" s="632">
        <f t="shared" si="20"/>
        <v>3.8797328415676793</v>
      </c>
      <c r="F85" s="636">
        <f t="shared" si="15"/>
        <v>54.593195866613584</v>
      </c>
      <c r="G85" s="637">
        <f t="shared" si="21"/>
        <v>4.002207328706838</v>
      </c>
      <c r="H85" s="632">
        <f t="shared" si="22"/>
        <v>3.8797328415676793</v>
      </c>
      <c r="I85" s="636">
        <f t="shared" si="16"/>
        <v>0</v>
      </c>
      <c r="J85" s="638">
        <f t="shared" si="17"/>
        <v>13.52241162688005</v>
      </c>
    </row>
    <row r="86" spans="1:10" x14ac:dyDescent="0.25">
      <c r="A86" s="635">
        <f t="shared" si="18"/>
        <v>163</v>
      </c>
      <c r="B86" s="636">
        <f t="shared" si="13"/>
        <v>-42.570784239733534</v>
      </c>
      <c r="C86" s="637">
        <f t="shared" si="14"/>
        <v>0</v>
      </c>
      <c r="D86" s="637">
        <f t="shared" si="19"/>
        <v>4.0776929123577954</v>
      </c>
      <c r="E86" s="632">
        <f t="shared" si="20"/>
        <v>3.9552184252186366</v>
      </c>
      <c r="F86" s="636">
        <f t="shared" si="15"/>
        <v>56.093155615513737</v>
      </c>
      <c r="G86" s="637">
        <f t="shared" si="21"/>
        <v>4.0776929123577954</v>
      </c>
      <c r="H86" s="632">
        <f t="shared" si="22"/>
        <v>3.9552184252186366</v>
      </c>
      <c r="I86" s="636">
        <f t="shared" si="16"/>
        <v>0</v>
      </c>
      <c r="J86" s="638">
        <f t="shared" si="17"/>
        <v>13.522371375780203</v>
      </c>
    </row>
    <row r="87" spans="1:10" x14ac:dyDescent="0.25">
      <c r="A87" s="635">
        <f t="shared" si="18"/>
        <v>164.5</v>
      </c>
      <c r="B87" s="636">
        <f t="shared" si="13"/>
        <v>-44.070784239733534</v>
      </c>
      <c r="C87" s="637">
        <f t="shared" si="14"/>
        <v>0</v>
      </c>
      <c r="D87" s="637">
        <f t="shared" si="19"/>
        <v>4.1524870152982398</v>
      </c>
      <c r="E87" s="632">
        <f t="shared" si="20"/>
        <v>4.0300125281590811</v>
      </c>
      <c r="F87" s="636">
        <f t="shared" si="15"/>
        <v>57.593126474755266</v>
      </c>
      <c r="G87" s="637">
        <f t="shared" si="21"/>
        <v>4.1524870152982398</v>
      </c>
      <c r="H87" s="632">
        <f t="shared" si="22"/>
        <v>4.0300125281590811</v>
      </c>
      <c r="I87" s="636">
        <f t="shared" si="16"/>
        <v>0</v>
      </c>
      <c r="J87" s="638">
        <f t="shared" si="17"/>
        <v>13.522342235021732</v>
      </c>
    </row>
    <row r="88" spans="1:10" x14ac:dyDescent="0.25">
      <c r="A88" s="635">
        <f t="shared" si="18"/>
        <v>166</v>
      </c>
      <c r="B88" s="636">
        <f t="shared" si="13"/>
        <v>-45.570784239733534</v>
      </c>
      <c r="C88" s="637">
        <f t="shared" si="14"/>
        <v>0</v>
      </c>
      <c r="D88" s="637">
        <f t="shared" si="19"/>
        <v>4.2266021911454583</v>
      </c>
      <c r="E88" s="632">
        <f t="shared" si="20"/>
        <v>4.1041277040062996</v>
      </c>
      <c r="F88" s="636">
        <f t="shared" si="15"/>
        <v>59.093105427663318</v>
      </c>
      <c r="G88" s="637">
        <f t="shared" si="21"/>
        <v>4.2266021911454583</v>
      </c>
      <c r="H88" s="632">
        <f t="shared" si="22"/>
        <v>4.1041277040062996</v>
      </c>
      <c r="I88" s="636">
        <f t="shared" si="16"/>
        <v>0</v>
      </c>
      <c r="J88" s="638">
        <f t="shared" si="17"/>
        <v>13.522321187929784</v>
      </c>
    </row>
    <row r="89" spans="1:10" x14ac:dyDescent="0.25">
      <c r="A89" s="635">
        <f t="shared" si="18"/>
        <v>167.5</v>
      </c>
      <c r="B89" s="636">
        <f t="shared" si="13"/>
        <v>-47.070784239733534</v>
      </c>
      <c r="C89" s="637">
        <f t="shared" si="14"/>
        <v>0</v>
      </c>
      <c r="D89" s="637">
        <f t="shared" si="19"/>
        <v>4.3000506547291995</v>
      </c>
      <c r="E89" s="632">
        <f t="shared" si="20"/>
        <v>4.1775761675900407</v>
      </c>
      <c r="F89" s="636">
        <f t="shared" si="15"/>
        <v>60.59309026107114</v>
      </c>
      <c r="G89" s="637">
        <f t="shared" si="21"/>
        <v>4.3000506547291995</v>
      </c>
      <c r="H89" s="632">
        <f t="shared" si="22"/>
        <v>4.1775761675900407</v>
      </c>
      <c r="I89" s="636">
        <f t="shared" si="16"/>
        <v>0</v>
      </c>
      <c r="J89" s="638">
        <f t="shared" si="17"/>
        <v>13.522306021337606</v>
      </c>
    </row>
    <row r="90" spans="1:10" x14ac:dyDescent="0.25">
      <c r="A90" s="635">
        <f t="shared" si="18"/>
        <v>169</v>
      </c>
      <c r="B90" s="636">
        <f t="shared" si="13"/>
        <v>-48.570784239733534</v>
      </c>
      <c r="C90" s="637">
        <f t="shared" si="14"/>
        <v>0</v>
      </c>
      <c r="D90" s="637">
        <f t="shared" si="19"/>
        <v>4.3728442941736532</v>
      </c>
      <c r="E90" s="632">
        <f t="shared" si="20"/>
        <v>4.2503698070344944</v>
      </c>
      <c r="F90" s="636">
        <f t="shared" si="15"/>
        <v>62.093079356114842</v>
      </c>
      <c r="G90" s="637">
        <f t="shared" si="21"/>
        <v>4.3728442941736532</v>
      </c>
      <c r="H90" s="632">
        <f t="shared" si="22"/>
        <v>4.2503698070344944</v>
      </c>
      <c r="I90" s="636">
        <f t="shared" si="16"/>
        <v>0</v>
      </c>
      <c r="J90" s="638">
        <f t="shared" si="17"/>
        <v>13.522295116381308</v>
      </c>
    </row>
    <row r="91" spans="1:10" x14ac:dyDescent="0.25">
      <c r="A91" s="635">
        <f t="shared" si="18"/>
        <v>170.5</v>
      </c>
      <c r="B91" s="636">
        <f t="shared" si="13"/>
        <v>-50.070784239733534</v>
      </c>
      <c r="C91" s="637">
        <f t="shared" si="14"/>
        <v>0</v>
      </c>
      <c r="D91" s="637">
        <f t="shared" si="19"/>
        <v>4.4449946824456017</v>
      </c>
      <c r="E91" s="632">
        <f t="shared" si="20"/>
        <v>4.3225201953064429</v>
      </c>
      <c r="F91" s="636">
        <f t="shared" si="15"/>
        <v>63.59307153202046</v>
      </c>
      <c r="G91" s="637">
        <f t="shared" si="21"/>
        <v>4.4449946824456017</v>
      </c>
      <c r="H91" s="632">
        <f t="shared" si="22"/>
        <v>4.3225201953064429</v>
      </c>
      <c r="I91" s="636">
        <f t="shared" si="16"/>
        <v>0</v>
      </c>
      <c r="J91" s="638">
        <f t="shared" si="17"/>
        <v>13.522287292286926</v>
      </c>
    </row>
    <row r="92" spans="1:10" x14ac:dyDescent="0.25">
      <c r="A92" s="635">
        <f t="shared" si="18"/>
        <v>172</v>
      </c>
      <c r="B92" s="636">
        <f t="shared" si="13"/>
        <v>-51.570784239733534</v>
      </c>
      <c r="C92" s="637">
        <f t="shared" si="14"/>
        <v>0</v>
      </c>
      <c r="D92" s="637">
        <f t="shared" si="19"/>
        <v>4.5165130883967866</v>
      </c>
      <c r="E92" s="632">
        <f t="shared" si="20"/>
        <v>4.3940386012576278</v>
      </c>
      <c r="F92" s="636">
        <f t="shared" si="15"/>
        <v>65.093065929910935</v>
      </c>
      <c r="G92" s="637">
        <f t="shared" si="21"/>
        <v>4.5165130883967866</v>
      </c>
      <c r="H92" s="632">
        <f t="shared" si="22"/>
        <v>4.3940386012576278</v>
      </c>
      <c r="I92" s="636">
        <f t="shared" si="16"/>
        <v>0</v>
      </c>
      <c r="J92" s="638">
        <f t="shared" si="17"/>
        <v>13.522281690177401</v>
      </c>
    </row>
    <row r="93" spans="1:10" x14ac:dyDescent="0.25">
      <c r="A93" s="635">
        <f t="shared" si="18"/>
        <v>173.5</v>
      </c>
      <c r="B93" s="636">
        <f t="shared" si="13"/>
        <v>-53.070784239733534</v>
      </c>
      <c r="C93" s="637">
        <f t="shared" si="14"/>
        <v>0</v>
      </c>
      <c r="D93" s="637">
        <f t="shared" si="19"/>
        <v>4.5874104873268573</v>
      </c>
      <c r="E93" s="632">
        <f t="shared" si="20"/>
        <v>4.4649360001876985</v>
      </c>
      <c r="F93" s="636">
        <f t="shared" si="15"/>
        <v>66.593061926699306</v>
      </c>
      <c r="G93" s="637">
        <f t="shared" si="21"/>
        <v>4.5874104873268573</v>
      </c>
      <c r="H93" s="632">
        <f t="shared" si="22"/>
        <v>4.4649360001876985</v>
      </c>
      <c r="I93" s="636">
        <f t="shared" si="16"/>
        <v>0</v>
      </c>
      <c r="J93" s="638">
        <f t="shared" si="17"/>
        <v>13.522277686965772</v>
      </c>
    </row>
    <row r="94" spans="1:10" x14ac:dyDescent="0.25">
      <c r="A94" s="635">
        <f t="shared" si="18"/>
        <v>175</v>
      </c>
      <c r="B94" s="636">
        <f t="shared" si="13"/>
        <v>-54.570784239733534</v>
      </c>
      <c r="C94" s="637">
        <f t="shared" si="14"/>
        <v>0</v>
      </c>
      <c r="D94" s="637">
        <f t="shared" si="19"/>
        <v>4.6576975710916511</v>
      </c>
      <c r="E94" s="632">
        <f t="shared" si="20"/>
        <v>4.5352230839524923</v>
      </c>
      <c r="F94" s="636">
        <f t="shared" si="15"/>
        <v>68.09305907150285</v>
      </c>
      <c r="G94" s="637">
        <f t="shared" si="21"/>
        <v>4.6576975710916511</v>
      </c>
      <c r="H94" s="632">
        <f t="shared" si="22"/>
        <v>4.5352230839524923</v>
      </c>
      <c r="I94" s="636">
        <f t="shared" si="16"/>
        <v>0</v>
      </c>
      <c r="J94" s="638">
        <f t="shared" si="17"/>
        <v>13.522274831769316</v>
      </c>
    </row>
    <row r="95" spans="1:10" x14ac:dyDescent="0.25">
      <c r="A95" s="635">
        <f t="shared" si="18"/>
        <v>176.5</v>
      </c>
      <c r="B95" s="636">
        <f t="shared" si="13"/>
        <v>-56.070784239733534</v>
      </c>
      <c r="C95" s="637">
        <f t="shared" si="14"/>
        <v>0</v>
      </c>
      <c r="D95" s="637">
        <f t="shared" si="19"/>
        <v>4.7273847577800892</v>
      </c>
      <c r="E95" s="632">
        <f t="shared" si="20"/>
        <v>4.6049102706409304</v>
      </c>
      <c r="F95" s="636">
        <f t="shared" si="15"/>
        <v>69.593057038846254</v>
      </c>
      <c r="G95" s="637">
        <f t="shared" si="21"/>
        <v>4.7273847577800892</v>
      </c>
      <c r="H95" s="632">
        <f t="shared" si="22"/>
        <v>4.6049102706409304</v>
      </c>
      <c r="I95" s="636">
        <f t="shared" si="16"/>
        <v>0</v>
      </c>
      <c r="J95" s="638">
        <f t="shared" si="17"/>
        <v>13.52227279911272</v>
      </c>
    </row>
    <row r="96" spans="1:10" x14ac:dyDescent="0.25">
      <c r="A96" s="635">
        <f t="shared" si="18"/>
        <v>178</v>
      </c>
      <c r="B96" s="636">
        <f t="shared" si="13"/>
        <v>-57.570784239733534</v>
      </c>
      <c r="C96" s="637">
        <f t="shared" si="14"/>
        <v>0</v>
      </c>
      <c r="D96" s="637">
        <f t="shared" si="19"/>
        <v>4.7964822009816128</v>
      </c>
      <c r="E96" s="632">
        <f t="shared" si="20"/>
        <v>4.6740077138424541</v>
      </c>
      <c r="F96" s="636">
        <f t="shared" si="15"/>
        <v>71.093055594332327</v>
      </c>
      <c r="G96" s="637">
        <f t="shared" si="21"/>
        <v>4.7964822009816128</v>
      </c>
      <c r="H96" s="632">
        <f t="shared" si="22"/>
        <v>4.6740077138424541</v>
      </c>
      <c r="I96" s="636">
        <f t="shared" si="16"/>
        <v>0</v>
      </c>
      <c r="J96" s="638">
        <f t="shared" si="17"/>
        <v>13.522271354598793</v>
      </c>
    </row>
    <row r="97" spans="1:10" x14ac:dyDescent="0.25">
      <c r="A97" s="635">
        <f t="shared" si="18"/>
        <v>179.5</v>
      </c>
      <c r="B97" s="636">
        <f t="shared" si="13"/>
        <v>-59.070784239733534</v>
      </c>
      <c r="C97" s="637">
        <f t="shared" si="14"/>
        <v>0</v>
      </c>
      <c r="D97" s="637">
        <f t="shared" si="19"/>
        <v>4.8649997986647415</v>
      </c>
      <c r="E97" s="632">
        <f t="shared" si="20"/>
        <v>4.7425253115255828</v>
      </c>
      <c r="F97" s="636">
        <f t="shared" si="15"/>
        <v>72.593054569536534</v>
      </c>
      <c r="G97" s="637">
        <f t="shared" si="21"/>
        <v>4.8649997986647415</v>
      </c>
      <c r="H97" s="632">
        <f t="shared" si="22"/>
        <v>4.7425253115255828</v>
      </c>
      <c r="I97" s="636">
        <f t="shared" si="16"/>
        <v>0</v>
      </c>
      <c r="J97" s="638">
        <f t="shared" si="17"/>
        <v>13.522270329803</v>
      </c>
    </row>
    <row r="98" spans="1:10" x14ac:dyDescent="0.25">
      <c r="A98" s="635">
        <f t="shared" si="18"/>
        <v>181</v>
      </c>
      <c r="B98" s="636">
        <f t="shared" si="13"/>
        <v>-60.570784239733534</v>
      </c>
      <c r="C98" s="637">
        <f t="shared" si="14"/>
        <v>0</v>
      </c>
      <c r="D98" s="637">
        <f t="shared" si="19"/>
        <v>4.9329472016862113</v>
      </c>
      <c r="E98" s="632">
        <f t="shared" si="20"/>
        <v>4.8104727145470525</v>
      </c>
      <c r="F98" s="636">
        <f t="shared" si="15"/>
        <v>74.093053843701142</v>
      </c>
      <c r="G98" s="637">
        <f t="shared" si="21"/>
        <v>4.9329472016862113</v>
      </c>
      <c r="H98" s="632">
        <f t="shared" si="22"/>
        <v>4.8104727145470525</v>
      </c>
      <c r="I98" s="636">
        <f t="shared" si="16"/>
        <v>0</v>
      </c>
      <c r="J98" s="638">
        <f t="shared" si="17"/>
        <v>13.522269603967608</v>
      </c>
    </row>
    <row r="99" spans="1:10" x14ac:dyDescent="0.25">
      <c r="A99" s="635">
        <f t="shared" si="18"/>
        <v>182.5</v>
      </c>
      <c r="B99" s="636">
        <f t="shared" si="13"/>
        <v>-62.070784239733534</v>
      </c>
      <c r="C99" s="637">
        <f t="shared" si="14"/>
        <v>0</v>
      </c>
      <c r="D99" s="637">
        <f t="shared" si="19"/>
        <v>5.0003338219489519</v>
      </c>
      <c r="E99" s="632">
        <f t="shared" si="20"/>
        <v>4.8778593348097932</v>
      </c>
      <c r="F99" s="636">
        <f t="shared" si="15"/>
        <v>75.593053330425548</v>
      </c>
      <c r="G99" s="637">
        <f t="shared" si="21"/>
        <v>5.0003338219489519</v>
      </c>
      <c r="H99" s="632">
        <f t="shared" si="22"/>
        <v>4.8778593348097932</v>
      </c>
      <c r="I99" s="636">
        <f t="shared" si="16"/>
        <v>0</v>
      </c>
      <c r="J99" s="638">
        <f t="shared" si="17"/>
        <v>13.522269090692014</v>
      </c>
    </row>
    <row r="100" spans="1:10" x14ac:dyDescent="0.25">
      <c r="A100" s="635">
        <f t="shared" si="18"/>
        <v>184</v>
      </c>
      <c r="B100" s="636">
        <f t="shared" si="13"/>
        <v>-63.570784239733534</v>
      </c>
      <c r="C100" s="637">
        <f t="shared" si="14"/>
        <v>0</v>
      </c>
      <c r="D100" s="637">
        <f t="shared" si="19"/>
        <v>5.0671688402261772</v>
      </c>
      <c r="E100" s="632">
        <f t="shared" si="20"/>
        <v>4.9446943530870184</v>
      </c>
      <c r="F100" s="636">
        <f t="shared" si="15"/>
        <v>77.093052968015414</v>
      </c>
      <c r="G100" s="637">
        <f t="shared" si="21"/>
        <v>5.0671688402261772</v>
      </c>
      <c r="H100" s="632">
        <f t="shared" si="22"/>
        <v>4.9446943530870184</v>
      </c>
      <c r="I100" s="636">
        <f t="shared" si="16"/>
        <v>0</v>
      </c>
      <c r="J100" s="638">
        <f t="shared" si="17"/>
        <v>13.52226872828188</v>
      </c>
    </row>
    <row r="101" spans="1:10" x14ac:dyDescent="0.25">
      <c r="A101" s="635">
        <f t="shared" si="18"/>
        <v>185.5</v>
      </c>
      <c r="B101" s="636">
        <f t="shared" si="13"/>
        <v>-65.070784239733527</v>
      </c>
      <c r="C101" s="637">
        <f t="shared" si="14"/>
        <v>0</v>
      </c>
      <c r="D101" s="637">
        <f t="shared" si="19"/>
        <v>5.1334612136678306</v>
      </c>
      <c r="E101" s="632">
        <f t="shared" si="20"/>
        <v>5.0109867265286718</v>
      </c>
      <c r="F101" s="636">
        <f t="shared" si="15"/>
        <v>78.593052712502839</v>
      </c>
      <c r="G101" s="637">
        <f t="shared" si="21"/>
        <v>5.1334612136678306</v>
      </c>
      <c r="H101" s="632">
        <f t="shared" si="22"/>
        <v>5.0109867265286718</v>
      </c>
      <c r="I101" s="636">
        <f t="shared" si="16"/>
        <v>0</v>
      </c>
      <c r="J101" s="638">
        <f t="shared" si="17"/>
        <v>13.522268472769312</v>
      </c>
    </row>
    <row r="102" spans="1:10" x14ac:dyDescent="0.25">
      <c r="A102" s="635">
        <f t="shared" si="18"/>
        <v>187</v>
      </c>
      <c r="B102" s="636">
        <f t="shared" si="13"/>
        <v>-66.570784239733527</v>
      </c>
      <c r="C102" s="637">
        <f t="shared" si="14"/>
        <v>0</v>
      </c>
      <c r="D102" s="637">
        <f t="shared" si="19"/>
        <v>5.1992196830047632</v>
      </c>
      <c r="E102" s="632">
        <f t="shared" si="20"/>
        <v>5.0767451958656045</v>
      </c>
      <c r="F102" s="636">
        <f t="shared" si="15"/>
        <v>80.093052532611523</v>
      </c>
      <c r="G102" s="637">
        <f t="shared" si="21"/>
        <v>5.1992196830047632</v>
      </c>
      <c r="H102" s="632">
        <f t="shared" si="22"/>
        <v>5.0767451958656045</v>
      </c>
      <c r="I102" s="636">
        <f t="shared" si="16"/>
        <v>0</v>
      </c>
      <c r="J102" s="638">
        <f t="shared" si="17"/>
        <v>13.522268292877996</v>
      </c>
    </row>
    <row r="103" spans="1:10" x14ac:dyDescent="0.25">
      <c r="A103" s="635">
        <f t="shared" si="18"/>
        <v>188.5</v>
      </c>
      <c r="B103" s="636">
        <f t="shared" si="13"/>
        <v>-68.070784239733527</v>
      </c>
      <c r="C103" s="637">
        <f t="shared" si="14"/>
        <v>0</v>
      </c>
      <c r="D103" s="637">
        <f t="shared" si="19"/>
        <v>5.2644527794650982</v>
      </c>
      <c r="E103" s="632">
        <f t="shared" si="20"/>
        <v>5.1419782923259394</v>
      </c>
      <c r="F103" s="636">
        <f t="shared" si="15"/>
        <v>81.593052406132713</v>
      </c>
      <c r="G103" s="637">
        <f t="shared" si="21"/>
        <v>5.2644527794650982</v>
      </c>
      <c r="H103" s="632">
        <f t="shared" si="22"/>
        <v>5.1419782923259394</v>
      </c>
      <c r="I103" s="636">
        <f t="shared" si="16"/>
        <v>0</v>
      </c>
      <c r="J103" s="638">
        <f t="shared" si="17"/>
        <v>13.522268166399186</v>
      </c>
    </row>
    <row r="104" spans="1:10" x14ac:dyDescent="0.25">
      <c r="A104" s="635">
        <f t="shared" si="18"/>
        <v>190</v>
      </c>
      <c r="B104" s="646">
        <f t="shared" si="13"/>
        <v>-69.570784239733527</v>
      </c>
      <c r="C104" s="641">
        <f t="shared" si="14"/>
        <v>0</v>
      </c>
      <c r="D104" s="641">
        <f t="shared" si="19"/>
        <v>5.3291688314165118</v>
      </c>
      <c r="E104" s="647">
        <f t="shared" si="20"/>
        <v>5.206694344277353</v>
      </c>
      <c r="F104" s="646">
        <f t="shared" si="15"/>
        <v>83.093052317323668</v>
      </c>
      <c r="G104" s="641">
        <f t="shared" si="21"/>
        <v>5.3291688314165118</v>
      </c>
      <c r="H104" s="647">
        <f t="shared" si="22"/>
        <v>5.206694344277353</v>
      </c>
      <c r="I104" s="646">
        <f t="shared" si="16"/>
        <v>0</v>
      </c>
      <c r="J104" s="648">
        <f t="shared" si="17"/>
        <v>13.522268077590141</v>
      </c>
    </row>
    <row r="105" spans="1:10" x14ac:dyDescent="0.25">
      <c r="A105" s="635"/>
    </row>
    <row r="106" spans="1:10" x14ac:dyDescent="0.25">
      <c r="A106" s="635"/>
    </row>
    <row r="107" spans="1:10" x14ac:dyDescent="0.25">
      <c r="A107" s="635"/>
    </row>
    <row r="108" spans="1:10" x14ac:dyDescent="0.25">
      <c r="A108" s="635"/>
    </row>
    <row r="109" spans="1:10" x14ac:dyDescent="0.25">
      <c r="A109" s="635"/>
    </row>
    <row r="110" spans="1:10" x14ac:dyDescent="0.25">
      <c r="A110" s="635"/>
    </row>
    <row r="111" spans="1:10" x14ac:dyDescent="0.25">
      <c r="A111" s="635"/>
    </row>
    <row r="112" spans="1:10" x14ac:dyDescent="0.25">
      <c r="A112" s="635"/>
    </row>
    <row r="113" spans="1:1" x14ac:dyDescent="0.25">
      <c r="A113" s="635"/>
    </row>
    <row r="114" spans="1:1" x14ac:dyDescent="0.25">
      <c r="A114" s="635"/>
    </row>
    <row r="115" spans="1:1" x14ac:dyDescent="0.25">
      <c r="A115" s="635"/>
    </row>
    <row r="116" spans="1:1" x14ac:dyDescent="0.25">
      <c r="A116" s="635"/>
    </row>
    <row r="117" spans="1:1" x14ac:dyDescent="0.25">
      <c r="A117" s="635"/>
    </row>
    <row r="118" spans="1:1" x14ac:dyDescent="0.25">
      <c r="A118" s="635"/>
    </row>
    <row r="119" spans="1:1" x14ac:dyDescent="0.25">
      <c r="A119" s="635"/>
    </row>
    <row r="120" spans="1:1" x14ac:dyDescent="0.25">
      <c r="A120" s="635"/>
    </row>
    <row r="121" spans="1:1" x14ac:dyDescent="0.25">
      <c r="A121" s="635"/>
    </row>
    <row r="122" spans="1:1" x14ac:dyDescent="0.25">
      <c r="A122" s="635"/>
    </row>
    <row r="123" spans="1:1" x14ac:dyDescent="0.25">
      <c r="A123" s="635"/>
    </row>
    <row r="124" spans="1:1" x14ac:dyDescent="0.25">
      <c r="A124" s="635"/>
    </row>
    <row r="125" spans="1:1" x14ac:dyDescent="0.25">
      <c r="A125" s="635"/>
    </row>
    <row r="126" spans="1:1" x14ac:dyDescent="0.25">
      <c r="A126" s="635"/>
    </row>
    <row r="127" spans="1:1" x14ac:dyDescent="0.25">
      <c r="A127" s="635"/>
    </row>
    <row r="128" spans="1:1" x14ac:dyDescent="0.25">
      <c r="A128" s="635"/>
    </row>
    <row r="129" spans="1:1" x14ac:dyDescent="0.25">
      <c r="A129" s="635"/>
    </row>
    <row r="130" spans="1:1" x14ac:dyDescent="0.25">
      <c r="A130" s="635"/>
    </row>
    <row r="131" spans="1:1" x14ac:dyDescent="0.25">
      <c r="A131" s="635"/>
    </row>
    <row r="132" spans="1:1" x14ac:dyDescent="0.25">
      <c r="A132" s="635"/>
    </row>
  </sheetData>
  <mergeCells count="13">
    <mergeCell ref="M2:M10"/>
    <mergeCell ref="O2:R2"/>
    <mergeCell ref="B3:I3"/>
    <mergeCell ref="O6:R6"/>
    <mergeCell ref="O7:R7"/>
    <mergeCell ref="O8:R8"/>
    <mergeCell ref="O10:R10"/>
    <mergeCell ref="J1:J3"/>
    <mergeCell ref="A1:A2"/>
    <mergeCell ref="B1:B2"/>
    <mergeCell ref="C1:C2"/>
    <mergeCell ref="D1:F1"/>
    <mergeCell ref="G1:I1"/>
  </mergeCells>
  <pageMargins left="0.75" right="0.75" top="1" bottom="1" header="0.5" footer="0.5"/>
  <pageSetup orientation="portrait" r:id="rId1"/>
  <headerFooter alignWithMargins="0"/>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66F2-C996-4CB2-AF86-3B3F11EEF36D}">
  <dimension ref="A1:N132"/>
  <sheetViews>
    <sheetView topLeftCell="G1" zoomScale="110" zoomScaleNormal="110" workbookViewId="0">
      <selection activeCell="J18" sqref="J18"/>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C</v>
      </c>
      <c r="C1" s="724" t="str">
        <f>L3</f>
        <v>C</v>
      </c>
      <c r="D1" s="724" t="str">
        <f t="shared" ref="D1:E1" si="0">M3</f>
        <v>C</v>
      </c>
      <c r="E1" s="724" t="str">
        <f t="shared" si="0"/>
        <v>C</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99</v>
      </c>
      <c r="L3" s="46" t="s">
        <v>99</v>
      </c>
      <c r="M3" s="46" t="s">
        <v>99</v>
      </c>
      <c r="N3" s="46" t="s">
        <v>99</v>
      </c>
    </row>
    <row r="4" spans="1:14" x14ac:dyDescent="0.25">
      <c r="A4" s="51">
        <v>0</v>
      </c>
      <c r="B4" s="52">
        <f>(MAX(IF($B$1="C",1,-1)*(A4-$K$5),0)-IF($K$10="Y",$K$13*EXP($K$6*$K$9),0))*$K$4</f>
        <v>-20.471961457859457</v>
      </c>
      <c r="C4" s="45">
        <f>(MAX(IF($C$1="C",1,-1)*(A4-$L$5),0)-IF($K$10="Y",$L$13*EXP($K$6*$K$9),0))*$L$4</f>
        <v>5.0598788417066709</v>
      </c>
      <c r="D4" s="45">
        <f>(MAX(IF($D$1="C",1,-1)*(A4-$M$5),0)-IF($K$10="Y",$M$13*EXP($K$6*$K$9),0))*$M$4</f>
        <v>5.0598788417066709</v>
      </c>
      <c r="E4" s="45">
        <f>(MAX(IF($E$1="C",1,-1)*(A4-$N$5),0)-IF($K$10="Y",$N$13*EXP($K$6*$K$9),0))*$N$4</f>
        <v>-0.42921576026646741</v>
      </c>
      <c r="F4" s="174">
        <f>SUM(B4:E4)</f>
        <v>-10.781419534712585</v>
      </c>
      <c r="I4" s="715"/>
      <c r="J4" s="50" t="s">
        <v>100</v>
      </c>
      <c r="K4" s="46">
        <v>1</v>
      </c>
      <c r="L4" s="46">
        <v>-1</v>
      </c>
      <c r="M4" s="46">
        <v>-1</v>
      </c>
      <c r="N4" s="46">
        <v>1</v>
      </c>
    </row>
    <row r="5" spans="1:14" x14ac:dyDescent="0.25">
      <c r="A5" s="54">
        <f>A4+2</f>
        <v>2</v>
      </c>
      <c r="B5" s="55">
        <f t="shared" ref="B5:B68" si="1">(MAX(IF($B$1="C",1,-1)*(A5-$K$5),0)-IF($K$10="Y",$K$13*EXP($K$6*$K$9),0))*$K$4</f>
        <v>-20.471961457859457</v>
      </c>
      <c r="C5" s="56">
        <f t="shared" ref="C5:C68" si="2">(MAX(IF($C$1="C",1,-1)*(A5-$L$5),0)-IF($K$10="Y",$L$13*EXP($K$6*$K$9),0))*$L$4</f>
        <v>5.0598788417066709</v>
      </c>
      <c r="D5" s="56">
        <f t="shared" ref="D5:D68" si="3">(MAX(IF($D$1="C",1,-1)*(A5-$M$5),0)-IF($K$10="Y",$M$13*EXP($K$6*$K$9),0))*$M$4</f>
        <v>5.0598788417066709</v>
      </c>
      <c r="E5" s="56">
        <f t="shared" ref="E5:E68" si="4">(MAX(IF($E$1="C",1,-1)*(A5-$N$5),0)-IF($K$10="Y",$N$13*EXP($K$6*$K$9),0))*$N$4</f>
        <v>-0.42921576026646741</v>
      </c>
      <c r="F5" s="175">
        <f t="shared" ref="F5:F68" si="5">SUM(B5:E5)</f>
        <v>-10.781419534712585</v>
      </c>
      <c r="I5" s="715"/>
      <c r="J5" s="56" t="s">
        <v>101</v>
      </c>
      <c r="K5" s="46">
        <v>80</v>
      </c>
      <c r="L5" s="46">
        <v>100</v>
      </c>
      <c r="M5" s="46">
        <v>100</v>
      </c>
      <c r="N5" s="46">
        <v>120</v>
      </c>
    </row>
    <row r="6" spans="1:14" x14ac:dyDescent="0.25">
      <c r="A6" s="54">
        <f t="shared" ref="A6:A69" si="6">A5+2</f>
        <v>4</v>
      </c>
      <c r="B6" s="55">
        <f t="shared" si="1"/>
        <v>-20.471961457859457</v>
      </c>
      <c r="C6" s="56">
        <f t="shared" si="2"/>
        <v>5.0598788417066709</v>
      </c>
      <c r="D6" s="56">
        <f t="shared" si="3"/>
        <v>5.0598788417066709</v>
      </c>
      <c r="E6" s="56">
        <f t="shared" si="4"/>
        <v>-0.42921576026646741</v>
      </c>
      <c r="F6" s="175">
        <f t="shared" si="5"/>
        <v>-10.781419534712585</v>
      </c>
      <c r="I6" s="715"/>
      <c r="J6" s="56" t="s">
        <v>102</v>
      </c>
      <c r="K6" s="758">
        <v>0.02</v>
      </c>
      <c r="L6" s="719"/>
      <c r="M6" s="719"/>
      <c r="N6" s="720"/>
    </row>
    <row r="7" spans="1:14" x14ac:dyDescent="0.25">
      <c r="A7" s="54">
        <f t="shared" si="6"/>
        <v>6</v>
      </c>
      <c r="B7" s="55">
        <f t="shared" si="1"/>
        <v>-20.471961457859457</v>
      </c>
      <c r="C7" s="56">
        <f t="shared" si="2"/>
        <v>5.0598788417066709</v>
      </c>
      <c r="D7" s="56">
        <f t="shared" si="3"/>
        <v>5.0598788417066709</v>
      </c>
      <c r="E7" s="56">
        <f t="shared" si="4"/>
        <v>-0.42921576026646741</v>
      </c>
      <c r="F7" s="175">
        <f t="shared" si="5"/>
        <v>-10.781419534712585</v>
      </c>
      <c r="I7" s="715"/>
      <c r="J7" s="56" t="s">
        <v>103</v>
      </c>
      <c r="K7" s="758">
        <v>0</v>
      </c>
      <c r="L7" s="719"/>
      <c r="M7" s="719"/>
      <c r="N7" s="720"/>
    </row>
    <row r="8" spans="1:14" x14ac:dyDescent="0.25">
      <c r="A8" s="54">
        <f t="shared" si="6"/>
        <v>8</v>
      </c>
      <c r="B8" s="55">
        <f t="shared" si="1"/>
        <v>-20.471961457859457</v>
      </c>
      <c r="C8" s="56">
        <f t="shared" si="2"/>
        <v>5.0598788417066709</v>
      </c>
      <c r="D8" s="56">
        <f t="shared" si="3"/>
        <v>5.0598788417066709</v>
      </c>
      <c r="E8" s="56">
        <f t="shared" si="4"/>
        <v>-0.42921576026646741</v>
      </c>
      <c r="F8" s="175">
        <f t="shared" si="5"/>
        <v>-10.781419534712585</v>
      </c>
      <c r="I8" s="715"/>
      <c r="J8" s="56" t="s">
        <v>104</v>
      </c>
      <c r="K8" s="758">
        <v>0.3</v>
      </c>
      <c r="L8" s="719"/>
      <c r="M8" s="719"/>
      <c r="N8" s="720"/>
    </row>
    <row r="9" spans="1:14" x14ac:dyDescent="0.25">
      <c r="A9" s="54">
        <f t="shared" si="6"/>
        <v>10</v>
      </c>
      <c r="B9" s="55">
        <f t="shared" si="1"/>
        <v>-20.471961457859457</v>
      </c>
      <c r="C9" s="56">
        <f t="shared" si="2"/>
        <v>5.0598788417066709</v>
      </c>
      <c r="D9" s="56">
        <f t="shared" si="3"/>
        <v>5.0598788417066709</v>
      </c>
      <c r="E9" s="56">
        <f t="shared" si="4"/>
        <v>-0.42921576026646741</v>
      </c>
      <c r="F9" s="175">
        <f t="shared" si="5"/>
        <v>-10.781419534712585</v>
      </c>
      <c r="I9" s="715"/>
      <c r="J9" s="58" t="s">
        <v>105</v>
      </c>
      <c r="K9" s="729">
        <f>2/12</f>
        <v>0.16666666666666666</v>
      </c>
      <c r="L9" s="721"/>
      <c r="M9" s="721"/>
      <c r="N9" s="722"/>
    </row>
    <row r="10" spans="1:14" x14ac:dyDescent="0.25">
      <c r="A10" s="54">
        <f t="shared" si="6"/>
        <v>12</v>
      </c>
      <c r="B10" s="55">
        <f t="shared" si="1"/>
        <v>-20.471961457859457</v>
      </c>
      <c r="C10" s="56">
        <f t="shared" si="2"/>
        <v>5.0598788417066709</v>
      </c>
      <c r="D10" s="56">
        <f t="shared" si="3"/>
        <v>5.0598788417066709</v>
      </c>
      <c r="E10" s="56">
        <f t="shared" si="4"/>
        <v>-0.42921576026646741</v>
      </c>
      <c r="F10" s="175">
        <f t="shared" si="5"/>
        <v>-10.781419534712585</v>
      </c>
      <c r="I10" s="716"/>
      <c r="J10" s="59" t="s">
        <v>106</v>
      </c>
      <c r="K10" s="729" t="s">
        <v>122</v>
      </c>
      <c r="L10" s="721"/>
      <c r="M10" s="721"/>
      <c r="N10" s="722"/>
    </row>
    <row r="11" spans="1:14" x14ac:dyDescent="0.25">
      <c r="A11" s="54">
        <f t="shared" si="6"/>
        <v>14</v>
      </c>
      <c r="B11" s="55">
        <f t="shared" si="1"/>
        <v>-20.471961457859457</v>
      </c>
      <c r="C11" s="56">
        <f t="shared" si="2"/>
        <v>5.0598788417066709</v>
      </c>
      <c r="D11" s="56">
        <f t="shared" si="3"/>
        <v>5.0598788417066709</v>
      </c>
      <c r="E11" s="56">
        <f t="shared" si="4"/>
        <v>-0.42921576026646741</v>
      </c>
      <c r="F11" s="175">
        <f t="shared" si="5"/>
        <v>-10.781419534712585</v>
      </c>
      <c r="I11" s="41" t="s">
        <v>107</v>
      </c>
      <c r="J11" s="52" t="s">
        <v>108</v>
      </c>
      <c r="K11" s="47">
        <f>(LN($K$2/K5)+(($K$6-$K$7+(0.5*$K$8*$K$8))*$K$9))/($K$8*SQRT($K$9))</f>
        <v>1.910413263308399</v>
      </c>
      <c r="L11" s="47">
        <f>(LN($K$2/L5)+(($K$6-$K$7+(0.5*$K$8*$K$8))*$K$9))/($K$8*SQRT($K$9))</f>
        <v>8.8453796267170329E-2</v>
      </c>
      <c r="M11" s="47">
        <f>(LN($K$2/M5)+(($K$6-$K$7+(0.5*$K$8*$K$8))*$K$9))/($K$8*SQRT($K$9))</f>
        <v>8.8453796267170329E-2</v>
      </c>
      <c r="N11" s="47">
        <f>(LN($K$2/N5)+(($K$6-$K$7+(0.5*$K$8*$K$8))*$K$9))/($K$8*SQRT($K$9))</f>
        <v>-1.4001954812496711</v>
      </c>
    </row>
    <row r="12" spans="1:14" x14ac:dyDescent="0.25">
      <c r="A12" s="54">
        <f t="shared" si="6"/>
        <v>16</v>
      </c>
      <c r="B12" s="55">
        <f t="shared" si="1"/>
        <v>-20.471961457859457</v>
      </c>
      <c r="C12" s="56">
        <f t="shared" si="2"/>
        <v>5.0598788417066709</v>
      </c>
      <c r="D12" s="56">
        <f t="shared" si="3"/>
        <v>5.0598788417066709</v>
      </c>
      <c r="E12" s="56">
        <f t="shared" si="4"/>
        <v>-0.42921576026646741</v>
      </c>
      <c r="F12" s="175">
        <f t="shared" si="5"/>
        <v>-10.781419534712585</v>
      </c>
      <c r="I12" s="49"/>
      <c r="J12" s="55" t="s">
        <v>109</v>
      </c>
      <c r="K12" s="60">
        <f>K11-($K$8*SQRT($K$9))</f>
        <v>1.78793877616924</v>
      </c>
      <c r="L12" s="60">
        <f>L11-($K$8*SQRT($K$9))</f>
        <v>-3.4020690871988571E-2</v>
      </c>
      <c r="M12" s="60">
        <f>M11-($K$8*SQRT($K$9))</f>
        <v>-3.4020690871988571E-2</v>
      </c>
      <c r="N12" s="60">
        <f>N11-($K$8*SQRT($K$9))</f>
        <v>-1.5226699683888301</v>
      </c>
    </row>
    <row r="13" spans="1:14" x14ac:dyDescent="0.25">
      <c r="A13" s="54">
        <f t="shared" si="6"/>
        <v>18</v>
      </c>
      <c r="B13" s="55">
        <f t="shared" si="1"/>
        <v>-20.471961457859457</v>
      </c>
      <c r="C13" s="56">
        <f t="shared" si="2"/>
        <v>5.0598788417066709</v>
      </c>
      <c r="D13" s="56">
        <f t="shared" si="3"/>
        <v>5.0598788417066709</v>
      </c>
      <c r="E13" s="56">
        <f t="shared" si="4"/>
        <v>-0.42921576026646741</v>
      </c>
      <c r="F13" s="175">
        <f t="shared" si="5"/>
        <v>-10.781419534712585</v>
      </c>
      <c r="I13" s="44"/>
      <c r="J13" s="61" t="s">
        <v>110</v>
      </c>
      <c r="K13" s="62">
        <f>IF(K3="C",($K$2*EXP(-$K$7*$K$9)*NORMSDIST(K11))-(K5*EXP(-$K$6*$K$9)*NORMSDIST(K12)),(-$K$2*EXP(-$K$7*$K$9)*NORMSDIST(-K11))-(-K5*EXP(-$K$6*$K$9)*NORMSDIST(-K12)))</f>
        <v>20.403835193187575</v>
      </c>
      <c r="L13" s="62">
        <f>IF(L3="C",($K$2*EXP(-$K$7*$K$9)*NORMSDIST(L11))-(L5*EXP(-$K$6*$K$9)*NORMSDIST(L12)),(-$K$2*EXP(-$K$7*$K$9)*NORMSDIST(-L11))-(-L5*EXP(-$K$6*$K$9)*NORMSDIST(-L12)))</f>
        <v>5.0430406581311829</v>
      </c>
      <c r="M13" s="62">
        <f>IF(M3="C",($K$2*EXP(-$K$7*$K$9)*NORMSDIST(M11))-(M5*EXP(-$K$6*$K$9)*NORMSDIST(M12)),(-$K$2*EXP(-$K$7*$K$9)*NORMSDIST(-M11))-(-M5*EXP(-$K$6*$K$9)*NORMSDIST(-M12)))</f>
        <v>5.0430406581311829</v>
      </c>
      <c r="N13" s="62">
        <f>IF(N3="C",($K$2*EXP(-$K$7*$K$9)*NORMSDIST(N11))-(N5*EXP(-$K$6*$K$9)*NORMSDIST(N12)),(-$K$2*EXP(-$K$7*$K$9)*NORMSDIST(-N11))-(-N5*EXP(-$K$6*$K$9)*NORMSDIST(-N12)))</f>
        <v>0.42778742295030714</v>
      </c>
    </row>
    <row r="14" spans="1:14" x14ac:dyDescent="0.25">
      <c r="A14" s="54">
        <f t="shared" si="6"/>
        <v>20</v>
      </c>
      <c r="B14" s="55">
        <f t="shared" si="1"/>
        <v>-20.471961457859457</v>
      </c>
      <c r="C14" s="56">
        <f t="shared" si="2"/>
        <v>5.0598788417066709</v>
      </c>
      <c r="D14" s="56">
        <f t="shared" si="3"/>
        <v>5.0598788417066709</v>
      </c>
      <c r="E14" s="56">
        <f t="shared" si="4"/>
        <v>-0.42921576026646741</v>
      </c>
      <c r="F14" s="175">
        <f t="shared" si="5"/>
        <v>-10.781419534712585</v>
      </c>
      <c r="K14" s="96"/>
    </row>
    <row r="15" spans="1:14" x14ac:dyDescent="0.25">
      <c r="A15" s="54">
        <f t="shared" si="6"/>
        <v>22</v>
      </c>
      <c r="B15" s="55">
        <f t="shared" si="1"/>
        <v>-20.471961457859457</v>
      </c>
      <c r="C15" s="56">
        <f t="shared" si="2"/>
        <v>5.0598788417066709</v>
      </c>
      <c r="D15" s="56">
        <f t="shared" si="3"/>
        <v>5.0598788417066709</v>
      </c>
      <c r="E15" s="56">
        <f t="shared" si="4"/>
        <v>-0.42921576026646741</v>
      </c>
      <c r="F15" s="175">
        <f t="shared" si="5"/>
        <v>-10.781419534712585</v>
      </c>
    </row>
    <row r="16" spans="1:14" x14ac:dyDescent="0.25">
      <c r="A16" s="54">
        <f t="shared" si="6"/>
        <v>24</v>
      </c>
      <c r="B16" s="55">
        <f t="shared" si="1"/>
        <v>-20.471961457859457</v>
      </c>
      <c r="C16" s="56">
        <f t="shared" si="2"/>
        <v>5.0598788417066709</v>
      </c>
      <c r="D16" s="56">
        <f t="shared" si="3"/>
        <v>5.0598788417066709</v>
      </c>
      <c r="E16" s="56">
        <f t="shared" si="4"/>
        <v>-0.42921576026646741</v>
      </c>
      <c r="F16" s="175">
        <f t="shared" si="5"/>
        <v>-10.781419534712585</v>
      </c>
    </row>
    <row r="17" spans="1:9" x14ac:dyDescent="0.25">
      <c r="A17" s="54">
        <f t="shared" si="6"/>
        <v>26</v>
      </c>
      <c r="B17" s="55">
        <f t="shared" si="1"/>
        <v>-20.471961457859457</v>
      </c>
      <c r="C17" s="56">
        <f t="shared" si="2"/>
        <v>5.0598788417066709</v>
      </c>
      <c r="D17" s="56">
        <f t="shared" si="3"/>
        <v>5.0598788417066709</v>
      </c>
      <c r="E17" s="56">
        <f t="shared" si="4"/>
        <v>-0.42921576026646741</v>
      </c>
      <c r="F17" s="175">
        <f t="shared" si="5"/>
        <v>-10.781419534712585</v>
      </c>
    </row>
    <row r="18" spans="1:9" x14ac:dyDescent="0.25">
      <c r="A18" s="54">
        <f t="shared" si="6"/>
        <v>28</v>
      </c>
      <c r="B18" s="55">
        <f t="shared" si="1"/>
        <v>-20.471961457859457</v>
      </c>
      <c r="C18" s="56">
        <f t="shared" si="2"/>
        <v>5.0598788417066709</v>
      </c>
      <c r="D18" s="56">
        <f t="shared" si="3"/>
        <v>5.0598788417066709</v>
      </c>
      <c r="E18" s="56">
        <f t="shared" si="4"/>
        <v>-0.42921576026646741</v>
      </c>
      <c r="F18" s="175">
        <f t="shared" si="5"/>
        <v>-10.781419534712585</v>
      </c>
    </row>
    <row r="19" spans="1:9" x14ac:dyDescent="0.25">
      <c r="A19" s="54">
        <f t="shared" si="6"/>
        <v>30</v>
      </c>
      <c r="B19" s="55">
        <f t="shared" si="1"/>
        <v>-20.471961457859457</v>
      </c>
      <c r="C19" s="56">
        <f t="shared" si="2"/>
        <v>5.0598788417066709</v>
      </c>
      <c r="D19" s="56">
        <f t="shared" si="3"/>
        <v>5.0598788417066709</v>
      </c>
      <c r="E19" s="56">
        <f t="shared" si="4"/>
        <v>-0.42921576026646741</v>
      </c>
      <c r="F19" s="175">
        <f t="shared" si="5"/>
        <v>-10.781419534712585</v>
      </c>
    </row>
    <row r="20" spans="1:9" x14ac:dyDescent="0.25">
      <c r="A20" s="54">
        <f t="shared" si="6"/>
        <v>32</v>
      </c>
      <c r="B20" s="55">
        <f t="shared" si="1"/>
        <v>-20.471961457859457</v>
      </c>
      <c r="C20" s="56">
        <f t="shared" si="2"/>
        <v>5.0598788417066709</v>
      </c>
      <c r="D20" s="56">
        <f t="shared" si="3"/>
        <v>5.0598788417066709</v>
      </c>
      <c r="E20" s="56">
        <f t="shared" si="4"/>
        <v>-0.42921576026646741</v>
      </c>
      <c r="F20" s="175">
        <f t="shared" si="5"/>
        <v>-10.781419534712585</v>
      </c>
    </row>
    <row r="21" spans="1:9" x14ac:dyDescent="0.25">
      <c r="A21" s="54">
        <f t="shared" si="6"/>
        <v>34</v>
      </c>
      <c r="B21" s="55">
        <f t="shared" si="1"/>
        <v>-20.471961457859457</v>
      </c>
      <c r="C21" s="56">
        <f t="shared" si="2"/>
        <v>5.0598788417066709</v>
      </c>
      <c r="D21" s="56">
        <f t="shared" si="3"/>
        <v>5.0598788417066709</v>
      </c>
      <c r="E21" s="56">
        <f t="shared" si="4"/>
        <v>-0.42921576026646741</v>
      </c>
      <c r="F21" s="175">
        <f t="shared" si="5"/>
        <v>-10.781419534712585</v>
      </c>
    </row>
    <row r="22" spans="1:9" x14ac:dyDescent="0.25">
      <c r="A22" s="54">
        <f t="shared" si="6"/>
        <v>36</v>
      </c>
      <c r="B22" s="55">
        <f t="shared" si="1"/>
        <v>-20.471961457859457</v>
      </c>
      <c r="C22" s="56">
        <f t="shared" si="2"/>
        <v>5.0598788417066709</v>
      </c>
      <c r="D22" s="56">
        <f t="shared" si="3"/>
        <v>5.0598788417066709</v>
      </c>
      <c r="E22" s="56">
        <f t="shared" si="4"/>
        <v>-0.42921576026646741</v>
      </c>
      <c r="F22" s="175">
        <f t="shared" si="5"/>
        <v>-10.781419534712585</v>
      </c>
    </row>
    <row r="23" spans="1:9" x14ac:dyDescent="0.25">
      <c r="A23" s="54">
        <f t="shared" si="6"/>
        <v>38</v>
      </c>
      <c r="B23" s="55">
        <f t="shared" si="1"/>
        <v>-20.471961457859457</v>
      </c>
      <c r="C23" s="56">
        <f t="shared" si="2"/>
        <v>5.0598788417066709</v>
      </c>
      <c r="D23" s="56">
        <f t="shared" si="3"/>
        <v>5.0598788417066709</v>
      </c>
      <c r="E23" s="56">
        <f t="shared" si="4"/>
        <v>-0.42921576026646741</v>
      </c>
      <c r="F23" s="175">
        <f t="shared" si="5"/>
        <v>-10.781419534712585</v>
      </c>
    </row>
    <row r="24" spans="1:9" x14ac:dyDescent="0.25">
      <c r="A24" s="54">
        <f t="shared" si="6"/>
        <v>40</v>
      </c>
      <c r="B24" s="55">
        <f t="shared" si="1"/>
        <v>-20.471961457859457</v>
      </c>
      <c r="C24" s="56">
        <f t="shared" si="2"/>
        <v>5.0598788417066709</v>
      </c>
      <c r="D24" s="56">
        <f t="shared" si="3"/>
        <v>5.0598788417066709</v>
      </c>
      <c r="E24" s="56">
        <f t="shared" si="4"/>
        <v>-0.42921576026646741</v>
      </c>
      <c r="F24" s="175">
        <f t="shared" si="5"/>
        <v>-10.781419534712585</v>
      </c>
    </row>
    <row r="25" spans="1:9" x14ac:dyDescent="0.25">
      <c r="A25" s="54">
        <f t="shared" si="6"/>
        <v>42</v>
      </c>
      <c r="B25" s="55">
        <f t="shared" si="1"/>
        <v>-20.471961457859457</v>
      </c>
      <c r="C25" s="56">
        <f t="shared" si="2"/>
        <v>5.0598788417066709</v>
      </c>
      <c r="D25" s="56">
        <f t="shared" si="3"/>
        <v>5.0598788417066709</v>
      </c>
      <c r="E25" s="56">
        <f t="shared" si="4"/>
        <v>-0.42921576026646741</v>
      </c>
      <c r="F25" s="175">
        <f t="shared" si="5"/>
        <v>-10.781419534712585</v>
      </c>
      <c r="I25" s="63"/>
    </row>
    <row r="26" spans="1:9" x14ac:dyDescent="0.25">
      <c r="A26" s="54">
        <f t="shared" si="6"/>
        <v>44</v>
      </c>
      <c r="B26" s="55">
        <f t="shared" si="1"/>
        <v>-20.471961457859457</v>
      </c>
      <c r="C26" s="56">
        <f t="shared" si="2"/>
        <v>5.0598788417066709</v>
      </c>
      <c r="D26" s="56">
        <f t="shared" si="3"/>
        <v>5.0598788417066709</v>
      </c>
      <c r="E26" s="56">
        <f t="shared" si="4"/>
        <v>-0.42921576026646741</v>
      </c>
      <c r="F26" s="175">
        <f t="shared" si="5"/>
        <v>-10.781419534712585</v>
      </c>
    </row>
    <row r="27" spans="1:9" x14ac:dyDescent="0.25">
      <c r="A27" s="54">
        <f t="shared" si="6"/>
        <v>46</v>
      </c>
      <c r="B27" s="55">
        <f t="shared" si="1"/>
        <v>-20.471961457859457</v>
      </c>
      <c r="C27" s="56">
        <f t="shared" si="2"/>
        <v>5.0598788417066709</v>
      </c>
      <c r="D27" s="56">
        <f t="shared" si="3"/>
        <v>5.0598788417066709</v>
      </c>
      <c r="E27" s="56">
        <f t="shared" si="4"/>
        <v>-0.42921576026646741</v>
      </c>
      <c r="F27" s="175">
        <f t="shared" si="5"/>
        <v>-10.781419534712585</v>
      </c>
    </row>
    <row r="28" spans="1:9" x14ac:dyDescent="0.25">
      <c r="A28" s="54">
        <f t="shared" si="6"/>
        <v>48</v>
      </c>
      <c r="B28" s="55">
        <f t="shared" si="1"/>
        <v>-20.471961457859457</v>
      </c>
      <c r="C28" s="56">
        <f t="shared" si="2"/>
        <v>5.0598788417066709</v>
      </c>
      <c r="D28" s="56">
        <f t="shared" si="3"/>
        <v>5.0598788417066709</v>
      </c>
      <c r="E28" s="56">
        <f t="shared" si="4"/>
        <v>-0.42921576026646741</v>
      </c>
      <c r="F28" s="175">
        <f t="shared" si="5"/>
        <v>-10.781419534712585</v>
      </c>
    </row>
    <row r="29" spans="1:9" x14ac:dyDescent="0.25">
      <c r="A29" s="54">
        <f t="shared" si="6"/>
        <v>50</v>
      </c>
      <c r="B29" s="55">
        <f t="shared" si="1"/>
        <v>-20.471961457859457</v>
      </c>
      <c r="C29" s="56">
        <f t="shared" si="2"/>
        <v>5.0598788417066709</v>
      </c>
      <c r="D29" s="56">
        <f t="shared" si="3"/>
        <v>5.0598788417066709</v>
      </c>
      <c r="E29" s="56">
        <f t="shared" si="4"/>
        <v>-0.42921576026646741</v>
      </c>
      <c r="F29" s="175">
        <f t="shared" si="5"/>
        <v>-10.781419534712585</v>
      </c>
    </row>
    <row r="30" spans="1:9" x14ac:dyDescent="0.25">
      <c r="A30" s="54">
        <f t="shared" si="6"/>
        <v>52</v>
      </c>
      <c r="B30" s="55">
        <f t="shared" si="1"/>
        <v>-20.471961457859457</v>
      </c>
      <c r="C30" s="56">
        <f t="shared" si="2"/>
        <v>5.0598788417066709</v>
      </c>
      <c r="D30" s="56">
        <f t="shared" si="3"/>
        <v>5.0598788417066709</v>
      </c>
      <c r="E30" s="56">
        <f t="shared" si="4"/>
        <v>-0.42921576026646741</v>
      </c>
      <c r="F30" s="175">
        <f t="shared" si="5"/>
        <v>-10.781419534712585</v>
      </c>
    </row>
    <row r="31" spans="1:9" x14ac:dyDescent="0.25">
      <c r="A31" s="54">
        <f t="shared" si="6"/>
        <v>54</v>
      </c>
      <c r="B31" s="55">
        <f t="shared" si="1"/>
        <v>-20.471961457859457</v>
      </c>
      <c r="C31" s="56">
        <f t="shared" si="2"/>
        <v>5.0598788417066709</v>
      </c>
      <c r="D31" s="56">
        <f t="shared" si="3"/>
        <v>5.0598788417066709</v>
      </c>
      <c r="E31" s="56">
        <f t="shared" si="4"/>
        <v>-0.42921576026646741</v>
      </c>
      <c r="F31" s="175">
        <f t="shared" si="5"/>
        <v>-10.781419534712585</v>
      </c>
    </row>
    <row r="32" spans="1:9" x14ac:dyDescent="0.25">
      <c r="A32" s="54">
        <f t="shared" si="6"/>
        <v>56</v>
      </c>
      <c r="B32" s="55">
        <f t="shared" si="1"/>
        <v>-20.471961457859457</v>
      </c>
      <c r="C32" s="56">
        <f t="shared" si="2"/>
        <v>5.0598788417066709</v>
      </c>
      <c r="D32" s="56">
        <f t="shared" si="3"/>
        <v>5.0598788417066709</v>
      </c>
      <c r="E32" s="56">
        <f t="shared" si="4"/>
        <v>-0.42921576026646741</v>
      </c>
      <c r="F32" s="175">
        <f t="shared" si="5"/>
        <v>-10.781419534712585</v>
      </c>
    </row>
    <row r="33" spans="1:6" x14ac:dyDescent="0.25">
      <c r="A33" s="54">
        <f t="shared" si="6"/>
        <v>58</v>
      </c>
      <c r="B33" s="55">
        <f t="shared" si="1"/>
        <v>-20.471961457859457</v>
      </c>
      <c r="C33" s="56">
        <f t="shared" si="2"/>
        <v>5.0598788417066709</v>
      </c>
      <c r="D33" s="56">
        <f t="shared" si="3"/>
        <v>5.0598788417066709</v>
      </c>
      <c r="E33" s="56">
        <f t="shared" si="4"/>
        <v>-0.42921576026646741</v>
      </c>
      <c r="F33" s="175">
        <f t="shared" si="5"/>
        <v>-10.781419534712585</v>
      </c>
    </row>
    <row r="34" spans="1:6" x14ac:dyDescent="0.25">
      <c r="A34" s="54">
        <f t="shared" si="6"/>
        <v>60</v>
      </c>
      <c r="B34" s="55">
        <f t="shared" si="1"/>
        <v>-20.471961457859457</v>
      </c>
      <c r="C34" s="56">
        <f t="shared" si="2"/>
        <v>5.0598788417066709</v>
      </c>
      <c r="D34" s="56">
        <f t="shared" si="3"/>
        <v>5.0598788417066709</v>
      </c>
      <c r="E34" s="56">
        <f t="shared" si="4"/>
        <v>-0.42921576026646741</v>
      </c>
      <c r="F34" s="175">
        <f t="shared" si="5"/>
        <v>-10.781419534712585</v>
      </c>
    </row>
    <row r="35" spans="1:6" x14ac:dyDescent="0.25">
      <c r="A35" s="54">
        <f t="shared" si="6"/>
        <v>62</v>
      </c>
      <c r="B35" s="55">
        <f t="shared" si="1"/>
        <v>-20.471961457859457</v>
      </c>
      <c r="C35" s="56">
        <f t="shared" si="2"/>
        <v>5.0598788417066709</v>
      </c>
      <c r="D35" s="56">
        <f t="shared" si="3"/>
        <v>5.0598788417066709</v>
      </c>
      <c r="E35" s="56">
        <f t="shared" si="4"/>
        <v>-0.42921576026646741</v>
      </c>
      <c r="F35" s="175">
        <f t="shared" si="5"/>
        <v>-10.781419534712585</v>
      </c>
    </row>
    <row r="36" spans="1:6" x14ac:dyDescent="0.25">
      <c r="A36" s="54">
        <f t="shared" si="6"/>
        <v>64</v>
      </c>
      <c r="B36" s="55">
        <f t="shared" si="1"/>
        <v>-20.471961457859457</v>
      </c>
      <c r="C36" s="56">
        <f t="shared" si="2"/>
        <v>5.0598788417066709</v>
      </c>
      <c r="D36" s="56">
        <f t="shared" si="3"/>
        <v>5.0598788417066709</v>
      </c>
      <c r="E36" s="56">
        <f t="shared" si="4"/>
        <v>-0.42921576026646741</v>
      </c>
      <c r="F36" s="175">
        <f t="shared" si="5"/>
        <v>-10.781419534712585</v>
      </c>
    </row>
    <row r="37" spans="1:6" x14ac:dyDescent="0.25">
      <c r="A37" s="54">
        <f t="shared" si="6"/>
        <v>66</v>
      </c>
      <c r="B37" s="55">
        <f t="shared" si="1"/>
        <v>-20.471961457859457</v>
      </c>
      <c r="C37" s="56">
        <f t="shared" si="2"/>
        <v>5.0598788417066709</v>
      </c>
      <c r="D37" s="56">
        <f t="shared" si="3"/>
        <v>5.0598788417066709</v>
      </c>
      <c r="E37" s="56">
        <f t="shared" si="4"/>
        <v>-0.42921576026646741</v>
      </c>
      <c r="F37" s="175">
        <f t="shared" si="5"/>
        <v>-10.781419534712585</v>
      </c>
    </row>
    <row r="38" spans="1:6" x14ac:dyDescent="0.25">
      <c r="A38" s="54">
        <f t="shared" si="6"/>
        <v>68</v>
      </c>
      <c r="B38" s="55">
        <f t="shared" si="1"/>
        <v>-20.471961457859457</v>
      </c>
      <c r="C38" s="56">
        <f t="shared" si="2"/>
        <v>5.0598788417066709</v>
      </c>
      <c r="D38" s="56">
        <f t="shared" si="3"/>
        <v>5.0598788417066709</v>
      </c>
      <c r="E38" s="56">
        <f t="shared" si="4"/>
        <v>-0.42921576026646741</v>
      </c>
      <c r="F38" s="175">
        <f t="shared" si="5"/>
        <v>-10.781419534712585</v>
      </c>
    </row>
    <row r="39" spans="1:6" x14ac:dyDescent="0.25">
      <c r="A39" s="54">
        <f t="shared" si="6"/>
        <v>70</v>
      </c>
      <c r="B39" s="55">
        <f t="shared" si="1"/>
        <v>-20.471961457859457</v>
      </c>
      <c r="C39" s="56">
        <f t="shared" si="2"/>
        <v>5.0598788417066709</v>
      </c>
      <c r="D39" s="56">
        <f t="shared" si="3"/>
        <v>5.0598788417066709</v>
      </c>
      <c r="E39" s="56">
        <f t="shared" si="4"/>
        <v>-0.42921576026646741</v>
      </c>
      <c r="F39" s="175">
        <f t="shared" si="5"/>
        <v>-10.781419534712585</v>
      </c>
    </row>
    <row r="40" spans="1:6" x14ac:dyDescent="0.25">
      <c r="A40" s="54">
        <f t="shared" si="6"/>
        <v>72</v>
      </c>
      <c r="B40" s="55">
        <f t="shared" si="1"/>
        <v>-20.471961457859457</v>
      </c>
      <c r="C40" s="56">
        <f t="shared" si="2"/>
        <v>5.0598788417066709</v>
      </c>
      <c r="D40" s="56">
        <f t="shared" si="3"/>
        <v>5.0598788417066709</v>
      </c>
      <c r="E40" s="56">
        <f t="shared" si="4"/>
        <v>-0.42921576026646741</v>
      </c>
      <c r="F40" s="175">
        <f t="shared" si="5"/>
        <v>-10.781419534712585</v>
      </c>
    </row>
    <row r="41" spans="1:6" x14ac:dyDescent="0.25">
      <c r="A41" s="54">
        <f t="shared" si="6"/>
        <v>74</v>
      </c>
      <c r="B41" s="55">
        <f t="shared" si="1"/>
        <v>-20.471961457859457</v>
      </c>
      <c r="C41" s="56">
        <f t="shared" si="2"/>
        <v>5.0598788417066709</v>
      </c>
      <c r="D41" s="56">
        <f t="shared" si="3"/>
        <v>5.0598788417066709</v>
      </c>
      <c r="E41" s="56">
        <f t="shared" si="4"/>
        <v>-0.42921576026646741</v>
      </c>
      <c r="F41" s="175">
        <f t="shared" si="5"/>
        <v>-10.781419534712585</v>
      </c>
    </row>
    <row r="42" spans="1:6" x14ac:dyDescent="0.25">
      <c r="A42" s="54">
        <f t="shared" si="6"/>
        <v>76</v>
      </c>
      <c r="B42" s="55">
        <f t="shared" si="1"/>
        <v>-20.471961457859457</v>
      </c>
      <c r="C42" s="56">
        <f t="shared" si="2"/>
        <v>5.0598788417066709</v>
      </c>
      <c r="D42" s="56">
        <f t="shared" si="3"/>
        <v>5.0598788417066709</v>
      </c>
      <c r="E42" s="56">
        <f t="shared" si="4"/>
        <v>-0.42921576026646741</v>
      </c>
      <c r="F42" s="175">
        <f t="shared" si="5"/>
        <v>-10.781419534712585</v>
      </c>
    </row>
    <row r="43" spans="1:6" x14ac:dyDescent="0.25">
      <c r="A43" s="54">
        <f t="shared" si="6"/>
        <v>78</v>
      </c>
      <c r="B43" s="55">
        <f t="shared" si="1"/>
        <v>-20.471961457859457</v>
      </c>
      <c r="C43" s="56">
        <f t="shared" si="2"/>
        <v>5.0598788417066709</v>
      </c>
      <c r="D43" s="56">
        <f t="shared" si="3"/>
        <v>5.0598788417066709</v>
      </c>
      <c r="E43" s="56">
        <f t="shared" si="4"/>
        <v>-0.42921576026646741</v>
      </c>
      <c r="F43" s="175">
        <f t="shared" si="5"/>
        <v>-10.781419534712585</v>
      </c>
    </row>
    <row r="44" spans="1:6" x14ac:dyDescent="0.25">
      <c r="A44" s="54">
        <f t="shared" si="6"/>
        <v>80</v>
      </c>
      <c r="B44" s="55">
        <f t="shared" si="1"/>
        <v>-20.471961457859457</v>
      </c>
      <c r="C44" s="56">
        <f t="shared" si="2"/>
        <v>5.0598788417066709</v>
      </c>
      <c r="D44" s="56">
        <f t="shared" si="3"/>
        <v>5.0598788417066709</v>
      </c>
      <c r="E44" s="56">
        <f t="shared" si="4"/>
        <v>-0.42921576026646741</v>
      </c>
      <c r="F44" s="175">
        <f t="shared" si="5"/>
        <v>-10.781419534712585</v>
      </c>
    </row>
    <row r="45" spans="1:6" x14ac:dyDescent="0.25">
      <c r="A45" s="54">
        <f t="shared" si="6"/>
        <v>82</v>
      </c>
      <c r="B45" s="55">
        <f t="shared" si="1"/>
        <v>-18.471961457859457</v>
      </c>
      <c r="C45" s="56">
        <f t="shared" si="2"/>
        <v>5.0598788417066709</v>
      </c>
      <c r="D45" s="56">
        <f t="shared" si="3"/>
        <v>5.0598788417066709</v>
      </c>
      <c r="E45" s="56">
        <f t="shared" si="4"/>
        <v>-0.42921576026646741</v>
      </c>
      <c r="F45" s="175">
        <f t="shared" si="5"/>
        <v>-8.781419534712585</v>
      </c>
    </row>
    <row r="46" spans="1:6" x14ac:dyDescent="0.25">
      <c r="A46" s="54">
        <f t="shared" si="6"/>
        <v>84</v>
      </c>
      <c r="B46" s="55">
        <f t="shared" si="1"/>
        <v>-16.471961457859457</v>
      </c>
      <c r="C46" s="56">
        <f t="shared" si="2"/>
        <v>5.0598788417066709</v>
      </c>
      <c r="D46" s="56">
        <f t="shared" si="3"/>
        <v>5.0598788417066709</v>
      </c>
      <c r="E46" s="56">
        <f t="shared" si="4"/>
        <v>-0.42921576026646741</v>
      </c>
      <c r="F46" s="175">
        <f t="shared" si="5"/>
        <v>-6.7814195347125841</v>
      </c>
    </row>
    <row r="47" spans="1:6" x14ac:dyDescent="0.25">
      <c r="A47" s="54">
        <f t="shared" si="6"/>
        <v>86</v>
      </c>
      <c r="B47" s="55">
        <f t="shared" si="1"/>
        <v>-14.471961457859457</v>
      </c>
      <c r="C47" s="56">
        <f t="shared" si="2"/>
        <v>5.0598788417066709</v>
      </c>
      <c r="D47" s="56">
        <f t="shared" si="3"/>
        <v>5.0598788417066709</v>
      </c>
      <c r="E47" s="56">
        <f t="shared" si="4"/>
        <v>-0.42921576026646741</v>
      </c>
      <c r="F47" s="175">
        <f t="shared" si="5"/>
        <v>-4.7814195347125841</v>
      </c>
    </row>
    <row r="48" spans="1:6" x14ac:dyDescent="0.25">
      <c r="A48" s="54">
        <f t="shared" si="6"/>
        <v>88</v>
      </c>
      <c r="B48" s="55">
        <f t="shared" si="1"/>
        <v>-12.471961457859457</v>
      </c>
      <c r="C48" s="56">
        <f t="shared" si="2"/>
        <v>5.0598788417066709</v>
      </c>
      <c r="D48" s="56">
        <f t="shared" si="3"/>
        <v>5.0598788417066709</v>
      </c>
      <c r="E48" s="56">
        <f t="shared" si="4"/>
        <v>-0.42921576026646741</v>
      </c>
      <c r="F48" s="175">
        <f t="shared" si="5"/>
        <v>-2.7814195347125827</v>
      </c>
    </row>
    <row r="49" spans="1:6" x14ac:dyDescent="0.25">
      <c r="A49" s="54">
        <f t="shared" si="6"/>
        <v>90</v>
      </c>
      <c r="B49" s="55">
        <f t="shared" si="1"/>
        <v>-10.471961457859457</v>
      </c>
      <c r="C49" s="56">
        <f t="shared" si="2"/>
        <v>5.0598788417066709</v>
      </c>
      <c r="D49" s="56">
        <f t="shared" si="3"/>
        <v>5.0598788417066709</v>
      </c>
      <c r="E49" s="56">
        <f t="shared" si="4"/>
        <v>-0.42921576026646741</v>
      </c>
      <c r="F49" s="175">
        <f t="shared" si="5"/>
        <v>-0.78141953471258296</v>
      </c>
    </row>
    <row r="50" spans="1:6" x14ac:dyDescent="0.25">
      <c r="A50" s="54">
        <f t="shared" si="6"/>
        <v>92</v>
      </c>
      <c r="B50" s="55">
        <f t="shared" si="1"/>
        <v>-8.4719614578594573</v>
      </c>
      <c r="C50" s="56">
        <f t="shared" si="2"/>
        <v>5.0598788417066709</v>
      </c>
      <c r="D50" s="56">
        <f t="shared" si="3"/>
        <v>5.0598788417066709</v>
      </c>
      <c r="E50" s="56">
        <f t="shared" si="4"/>
        <v>-0.42921576026646741</v>
      </c>
      <c r="F50" s="175">
        <f t="shared" si="5"/>
        <v>1.218580465287417</v>
      </c>
    </row>
    <row r="51" spans="1:6" x14ac:dyDescent="0.25">
      <c r="A51" s="54">
        <f t="shared" si="6"/>
        <v>94</v>
      </c>
      <c r="B51" s="55">
        <f t="shared" si="1"/>
        <v>-6.4719614578594573</v>
      </c>
      <c r="C51" s="56">
        <f t="shared" si="2"/>
        <v>5.0598788417066709</v>
      </c>
      <c r="D51" s="56">
        <f t="shared" si="3"/>
        <v>5.0598788417066709</v>
      </c>
      <c r="E51" s="56">
        <f t="shared" si="4"/>
        <v>-0.42921576026646741</v>
      </c>
      <c r="F51" s="175">
        <f t="shared" si="5"/>
        <v>3.2185804652874173</v>
      </c>
    </row>
    <row r="52" spans="1:6" x14ac:dyDescent="0.25">
      <c r="A52" s="54">
        <f t="shared" si="6"/>
        <v>96</v>
      </c>
      <c r="B52" s="55">
        <f t="shared" si="1"/>
        <v>-4.4719614578594573</v>
      </c>
      <c r="C52" s="56">
        <f t="shared" si="2"/>
        <v>5.0598788417066709</v>
      </c>
      <c r="D52" s="56">
        <f t="shared" si="3"/>
        <v>5.0598788417066709</v>
      </c>
      <c r="E52" s="56">
        <f t="shared" si="4"/>
        <v>-0.42921576026646741</v>
      </c>
      <c r="F52" s="175">
        <f t="shared" si="5"/>
        <v>5.2185804652874168</v>
      </c>
    </row>
    <row r="53" spans="1:6" x14ac:dyDescent="0.25">
      <c r="A53" s="54">
        <f t="shared" si="6"/>
        <v>98</v>
      </c>
      <c r="B53" s="55">
        <f t="shared" si="1"/>
        <v>-2.4719614578594573</v>
      </c>
      <c r="C53" s="56">
        <f t="shared" si="2"/>
        <v>5.0598788417066709</v>
      </c>
      <c r="D53" s="56">
        <f t="shared" si="3"/>
        <v>5.0598788417066709</v>
      </c>
      <c r="E53" s="56">
        <f t="shared" si="4"/>
        <v>-0.42921576026646741</v>
      </c>
      <c r="F53" s="175">
        <f t="shared" si="5"/>
        <v>7.2185804652874168</v>
      </c>
    </row>
    <row r="54" spans="1:6" x14ac:dyDescent="0.25">
      <c r="A54" s="54">
        <f t="shared" si="6"/>
        <v>100</v>
      </c>
      <c r="B54" s="55">
        <f t="shared" si="1"/>
        <v>-0.47196145785945731</v>
      </c>
      <c r="C54" s="56">
        <f t="shared" si="2"/>
        <v>5.0598788417066709</v>
      </c>
      <c r="D54" s="56">
        <f t="shared" si="3"/>
        <v>5.0598788417066709</v>
      </c>
      <c r="E54" s="56">
        <f t="shared" si="4"/>
        <v>-0.42921576026646741</v>
      </c>
      <c r="F54" s="175">
        <f t="shared" si="5"/>
        <v>9.2185804652874168</v>
      </c>
    </row>
    <row r="55" spans="1:6" x14ac:dyDescent="0.25">
      <c r="A55" s="54">
        <f t="shared" si="6"/>
        <v>102</v>
      </c>
      <c r="B55" s="55">
        <f t="shared" si="1"/>
        <v>1.5280385421405427</v>
      </c>
      <c r="C55" s="56">
        <f t="shared" si="2"/>
        <v>3.0598788417066709</v>
      </c>
      <c r="D55" s="56">
        <f t="shared" si="3"/>
        <v>3.0598788417066709</v>
      </c>
      <c r="E55" s="56">
        <f t="shared" si="4"/>
        <v>-0.42921576026646741</v>
      </c>
      <c r="F55" s="175">
        <f t="shared" si="5"/>
        <v>7.2185804652874168</v>
      </c>
    </row>
    <row r="56" spans="1:6" x14ac:dyDescent="0.25">
      <c r="A56" s="54">
        <f t="shared" si="6"/>
        <v>104</v>
      </c>
      <c r="B56" s="55">
        <f t="shared" si="1"/>
        <v>3.5280385421405427</v>
      </c>
      <c r="C56" s="56">
        <f t="shared" si="2"/>
        <v>1.0598788417066709</v>
      </c>
      <c r="D56" s="56">
        <f t="shared" si="3"/>
        <v>1.0598788417066709</v>
      </c>
      <c r="E56" s="56">
        <f t="shared" si="4"/>
        <v>-0.42921576026646741</v>
      </c>
      <c r="F56" s="175">
        <f t="shared" si="5"/>
        <v>5.2185804652874168</v>
      </c>
    </row>
    <row r="57" spans="1:6" x14ac:dyDescent="0.25">
      <c r="A57" s="54">
        <f t="shared" si="6"/>
        <v>106</v>
      </c>
      <c r="B57" s="55">
        <f t="shared" si="1"/>
        <v>5.5280385421405427</v>
      </c>
      <c r="C57" s="56">
        <f t="shared" si="2"/>
        <v>-0.9401211582933291</v>
      </c>
      <c r="D57" s="56">
        <f t="shared" si="3"/>
        <v>-0.9401211582933291</v>
      </c>
      <c r="E57" s="56">
        <f t="shared" si="4"/>
        <v>-0.42921576026646741</v>
      </c>
      <c r="F57" s="175">
        <f t="shared" si="5"/>
        <v>3.2185804652874173</v>
      </c>
    </row>
    <row r="58" spans="1:6" x14ac:dyDescent="0.25">
      <c r="A58" s="54">
        <f t="shared" si="6"/>
        <v>108</v>
      </c>
      <c r="B58" s="55">
        <f t="shared" si="1"/>
        <v>7.5280385421405427</v>
      </c>
      <c r="C58" s="56">
        <f t="shared" si="2"/>
        <v>-2.9401211582933291</v>
      </c>
      <c r="D58" s="56">
        <f t="shared" si="3"/>
        <v>-2.9401211582933291</v>
      </c>
      <c r="E58" s="56">
        <f t="shared" si="4"/>
        <v>-0.42921576026646741</v>
      </c>
      <c r="F58" s="175">
        <f t="shared" si="5"/>
        <v>1.218580465287417</v>
      </c>
    </row>
    <row r="59" spans="1:6" x14ac:dyDescent="0.25">
      <c r="A59" s="54">
        <f t="shared" si="6"/>
        <v>110</v>
      </c>
      <c r="B59" s="55">
        <f t="shared" si="1"/>
        <v>9.5280385421405427</v>
      </c>
      <c r="C59" s="56">
        <f t="shared" si="2"/>
        <v>-4.9401211582933291</v>
      </c>
      <c r="D59" s="56">
        <f t="shared" si="3"/>
        <v>-4.9401211582933291</v>
      </c>
      <c r="E59" s="56">
        <f t="shared" si="4"/>
        <v>-0.42921576026646741</v>
      </c>
      <c r="F59" s="175">
        <f t="shared" si="5"/>
        <v>-0.78141953471258296</v>
      </c>
    </row>
    <row r="60" spans="1:6" x14ac:dyDescent="0.25">
      <c r="A60" s="54">
        <f t="shared" si="6"/>
        <v>112</v>
      </c>
      <c r="B60" s="55">
        <f t="shared" si="1"/>
        <v>11.528038542140543</v>
      </c>
      <c r="C60" s="56">
        <f t="shared" si="2"/>
        <v>-6.9401211582933291</v>
      </c>
      <c r="D60" s="56">
        <f t="shared" si="3"/>
        <v>-6.9401211582933291</v>
      </c>
      <c r="E60" s="56">
        <f t="shared" si="4"/>
        <v>-0.42921576026646741</v>
      </c>
      <c r="F60" s="175">
        <f t="shared" si="5"/>
        <v>-2.7814195347125827</v>
      </c>
    </row>
    <row r="61" spans="1:6" x14ac:dyDescent="0.25">
      <c r="A61" s="54">
        <f t="shared" si="6"/>
        <v>114</v>
      </c>
      <c r="B61" s="55">
        <f t="shared" si="1"/>
        <v>13.528038542140543</v>
      </c>
      <c r="C61" s="56">
        <f t="shared" si="2"/>
        <v>-8.94012115829333</v>
      </c>
      <c r="D61" s="56">
        <f t="shared" si="3"/>
        <v>-8.94012115829333</v>
      </c>
      <c r="E61" s="56">
        <f t="shared" si="4"/>
        <v>-0.42921576026646741</v>
      </c>
      <c r="F61" s="175">
        <f t="shared" si="5"/>
        <v>-4.781419534712585</v>
      </c>
    </row>
    <row r="62" spans="1:6" x14ac:dyDescent="0.25">
      <c r="A62" s="54">
        <f t="shared" si="6"/>
        <v>116</v>
      </c>
      <c r="B62" s="55">
        <f t="shared" si="1"/>
        <v>15.528038542140543</v>
      </c>
      <c r="C62" s="56">
        <f t="shared" si="2"/>
        <v>-10.94012115829333</v>
      </c>
      <c r="D62" s="56">
        <f t="shared" si="3"/>
        <v>-10.94012115829333</v>
      </c>
      <c r="E62" s="56">
        <f t="shared" si="4"/>
        <v>-0.42921576026646741</v>
      </c>
      <c r="F62" s="175">
        <f t="shared" si="5"/>
        <v>-6.781419534712585</v>
      </c>
    </row>
    <row r="63" spans="1:6" x14ac:dyDescent="0.25">
      <c r="A63" s="54">
        <f t="shared" si="6"/>
        <v>118</v>
      </c>
      <c r="B63" s="55">
        <f t="shared" si="1"/>
        <v>17.528038542140543</v>
      </c>
      <c r="C63" s="56">
        <f t="shared" si="2"/>
        <v>-12.94012115829333</v>
      </c>
      <c r="D63" s="56">
        <f t="shared" si="3"/>
        <v>-12.94012115829333</v>
      </c>
      <c r="E63" s="56">
        <f t="shared" si="4"/>
        <v>-0.42921576026646741</v>
      </c>
      <c r="F63" s="175">
        <f t="shared" si="5"/>
        <v>-8.781419534712585</v>
      </c>
    </row>
    <row r="64" spans="1:6" x14ac:dyDescent="0.25">
      <c r="A64" s="54">
        <f t="shared" si="6"/>
        <v>120</v>
      </c>
      <c r="B64" s="55">
        <f t="shared" si="1"/>
        <v>19.528038542140543</v>
      </c>
      <c r="C64" s="56">
        <f t="shared" si="2"/>
        <v>-14.94012115829333</v>
      </c>
      <c r="D64" s="56">
        <f t="shared" si="3"/>
        <v>-14.94012115829333</v>
      </c>
      <c r="E64" s="56">
        <f t="shared" si="4"/>
        <v>-0.42921576026646741</v>
      </c>
      <c r="F64" s="175">
        <f t="shared" si="5"/>
        <v>-10.781419534712585</v>
      </c>
    </row>
    <row r="65" spans="1:6" x14ac:dyDescent="0.25">
      <c r="A65" s="54">
        <f t="shared" si="6"/>
        <v>122</v>
      </c>
      <c r="B65" s="55">
        <f t="shared" si="1"/>
        <v>21.528038542140543</v>
      </c>
      <c r="C65" s="56">
        <f t="shared" si="2"/>
        <v>-16.94012115829333</v>
      </c>
      <c r="D65" s="56">
        <f t="shared" si="3"/>
        <v>-16.94012115829333</v>
      </c>
      <c r="E65" s="56">
        <f t="shared" si="4"/>
        <v>1.5707842397335325</v>
      </c>
      <c r="F65" s="175">
        <f t="shared" si="5"/>
        <v>-10.781419534712585</v>
      </c>
    </row>
    <row r="66" spans="1:6" x14ac:dyDescent="0.25">
      <c r="A66" s="54">
        <f t="shared" si="6"/>
        <v>124</v>
      </c>
      <c r="B66" s="55">
        <f t="shared" si="1"/>
        <v>23.528038542140543</v>
      </c>
      <c r="C66" s="56">
        <f t="shared" si="2"/>
        <v>-18.94012115829333</v>
      </c>
      <c r="D66" s="56">
        <f t="shared" si="3"/>
        <v>-18.94012115829333</v>
      </c>
      <c r="E66" s="56">
        <f t="shared" si="4"/>
        <v>3.5707842397335328</v>
      </c>
      <c r="F66" s="175">
        <f t="shared" si="5"/>
        <v>-10.781419534712585</v>
      </c>
    </row>
    <row r="67" spans="1:6" x14ac:dyDescent="0.25">
      <c r="A67" s="54">
        <f t="shared" si="6"/>
        <v>126</v>
      </c>
      <c r="B67" s="55">
        <f t="shared" si="1"/>
        <v>25.528038542140543</v>
      </c>
      <c r="C67" s="56">
        <f t="shared" si="2"/>
        <v>-20.94012115829333</v>
      </c>
      <c r="D67" s="56">
        <f t="shared" si="3"/>
        <v>-20.94012115829333</v>
      </c>
      <c r="E67" s="56">
        <f t="shared" si="4"/>
        <v>5.5707842397335323</v>
      </c>
      <c r="F67" s="175">
        <f t="shared" si="5"/>
        <v>-10.781419534712585</v>
      </c>
    </row>
    <row r="68" spans="1:6" x14ac:dyDescent="0.25">
      <c r="A68" s="54">
        <f t="shared" si="6"/>
        <v>128</v>
      </c>
      <c r="B68" s="55">
        <f t="shared" si="1"/>
        <v>27.528038542140543</v>
      </c>
      <c r="C68" s="56">
        <f t="shared" si="2"/>
        <v>-22.94012115829333</v>
      </c>
      <c r="D68" s="56">
        <f t="shared" si="3"/>
        <v>-22.94012115829333</v>
      </c>
      <c r="E68" s="56">
        <f t="shared" si="4"/>
        <v>7.5707842397335323</v>
      </c>
      <c r="F68" s="175">
        <f t="shared" si="5"/>
        <v>-10.781419534712585</v>
      </c>
    </row>
    <row r="69" spans="1:6" x14ac:dyDescent="0.25">
      <c r="A69" s="54">
        <f t="shared" si="6"/>
        <v>130</v>
      </c>
      <c r="B69" s="55">
        <f t="shared" ref="B69:B104" si="7">(MAX(IF($B$1="C",1,-1)*(A69-$K$5),0)-IF($K$10="Y",$K$13*EXP($K$6*$K$9),0))*$K$4</f>
        <v>29.528038542140543</v>
      </c>
      <c r="C69" s="56">
        <f t="shared" ref="C69:C104" si="8">(MAX(IF($C$1="C",1,-1)*(A69-$L$5),0)-IF($K$10="Y",$L$13*EXP($K$6*$K$9),0))*$L$4</f>
        <v>-24.94012115829333</v>
      </c>
      <c r="D69" s="56">
        <f t="shared" ref="D69:D104" si="9">(MAX(IF($D$1="C",1,-1)*(A69-$M$5),0)-IF($K$10="Y",$M$13*EXP($K$6*$K$9),0))*$M$4</f>
        <v>-24.94012115829333</v>
      </c>
      <c r="E69" s="56">
        <f t="shared" ref="E69:E104" si="10">(MAX(IF($E$1="C",1,-1)*(A69-$N$5),0)-IF($K$10="Y",$N$13*EXP($K$6*$K$9),0))*$N$4</f>
        <v>9.5707842397335323</v>
      </c>
      <c r="F69" s="175">
        <f t="shared" ref="F69:F104" si="11">SUM(B69:E69)</f>
        <v>-10.781419534712585</v>
      </c>
    </row>
    <row r="70" spans="1:6" x14ac:dyDescent="0.25">
      <c r="A70" s="54">
        <f t="shared" ref="A70:A104" si="12">A69+2</f>
        <v>132</v>
      </c>
      <c r="B70" s="55">
        <f t="shared" si="7"/>
        <v>31.528038542140543</v>
      </c>
      <c r="C70" s="56">
        <f t="shared" si="8"/>
        <v>-26.94012115829333</v>
      </c>
      <c r="D70" s="56">
        <f t="shared" si="9"/>
        <v>-26.94012115829333</v>
      </c>
      <c r="E70" s="56">
        <f t="shared" si="10"/>
        <v>11.570784239733532</v>
      </c>
      <c r="F70" s="175">
        <f t="shared" si="11"/>
        <v>-10.781419534712585</v>
      </c>
    </row>
    <row r="71" spans="1:6" x14ac:dyDescent="0.25">
      <c r="A71" s="54">
        <f t="shared" si="12"/>
        <v>134</v>
      </c>
      <c r="B71" s="55">
        <f t="shared" si="7"/>
        <v>33.528038542140543</v>
      </c>
      <c r="C71" s="56">
        <f t="shared" si="8"/>
        <v>-28.94012115829333</v>
      </c>
      <c r="D71" s="56">
        <f t="shared" si="9"/>
        <v>-28.94012115829333</v>
      </c>
      <c r="E71" s="56">
        <f t="shared" si="10"/>
        <v>13.570784239733532</v>
      </c>
      <c r="F71" s="175">
        <f t="shared" si="11"/>
        <v>-10.781419534712585</v>
      </c>
    </row>
    <row r="72" spans="1:6" x14ac:dyDescent="0.25">
      <c r="A72" s="54">
        <f t="shared" si="12"/>
        <v>136</v>
      </c>
      <c r="B72" s="55">
        <f t="shared" si="7"/>
        <v>35.528038542140543</v>
      </c>
      <c r="C72" s="56">
        <f t="shared" si="8"/>
        <v>-30.94012115829333</v>
      </c>
      <c r="D72" s="56">
        <f t="shared" si="9"/>
        <v>-30.94012115829333</v>
      </c>
      <c r="E72" s="56">
        <f t="shared" si="10"/>
        <v>15.570784239733532</v>
      </c>
      <c r="F72" s="175">
        <f t="shared" si="11"/>
        <v>-10.781419534712585</v>
      </c>
    </row>
    <row r="73" spans="1:6" x14ac:dyDescent="0.25">
      <c r="A73" s="54">
        <f t="shared" si="12"/>
        <v>138</v>
      </c>
      <c r="B73" s="55">
        <f t="shared" si="7"/>
        <v>37.528038542140543</v>
      </c>
      <c r="C73" s="56">
        <f t="shared" si="8"/>
        <v>-32.94012115829333</v>
      </c>
      <c r="D73" s="56">
        <f t="shared" si="9"/>
        <v>-32.94012115829333</v>
      </c>
      <c r="E73" s="56">
        <f t="shared" si="10"/>
        <v>17.570784239733534</v>
      </c>
      <c r="F73" s="175">
        <f t="shared" si="11"/>
        <v>-10.781419534712583</v>
      </c>
    </row>
    <row r="74" spans="1:6" x14ac:dyDescent="0.25">
      <c r="A74" s="54">
        <f t="shared" si="12"/>
        <v>140</v>
      </c>
      <c r="B74" s="55">
        <f t="shared" si="7"/>
        <v>39.528038542140543</v>
      </c>
      <c r="C74" s="56">
        <f t="shared" si="8"/>
        <v>-34.94012115829333</v>
      </c>
      <c r="D74" s="56">
        <f t="shared" si="9"/>
        <v>-34.94012115829333</v>
      </c>
      <c r="E74" s="56">
        <f t="shared" si="10"/>
        <v>19.570784239733534</v>
      </c>
      <c r="F74" s="175">
        <f t="shared" si="11"/>
        <v>-10.781419534712583</v>
      </c>
    </row>
    <row r="75" spans="1:6" x14ac:dyDescent="0.25">
      <c r="A75" s="54">
        <f t="shared" si="12"/>
        <v>142</v>
      </c>
      <c r="B75" s="55">
        <f t="shared" si="7"/>
        <v>41.528038542140543</v>
      </c>
      <c r="C75" s="56">
        <f t="shared" si="8"/>
        <v>-36.94012115829333</v>
      </c>
      <c r="D75" s="56">
        <f t="shared" si="9"/>
        <v>-36.94012115829333</v>
      </c>
      <c r="E75" s="56">
        <f t="shared" si="10"/>
        <v>21.570784239733534</v>
      </c>
      <c r="F75" s="175">
        <f t="shared" si="11"/>
        <v>-10.781419534712583</v>
      </c>
    </row>
    <row r="76" spans="1:6" x14ac:dyDescent="0.25">
      <c r="A76" s="54">
        <f t="shared" si="12"/>
        <v>144</v>
      </c>
      <c r="B76" s="55">
        <f t="shared" si="7"/>
        <v>43.528038542140543</v>
      </c>
      <c r="C76" s="56">
        <f t="shared" si="8"/>
        <v>-38.94012115829333</v>
      </c>
      <c r="D76" s="56">
        <f t="shared" si="9"/>
        <v>-38.94012115829333</v>
      </c>
      <c r="E76" s="56">
        <f t="shared" si="10"/>
        <v>23.570784239733534</v>
      </c>
      <c r="F76" s="175">
        <f t="shared" si="11"/>
        <v>-10.781419534712583</v>
      </c>
    </row>
    <row r="77" spans="1:6" x14ac:dyDescent="0.25">
      <c r="A77" s="54">
        <f t="shared" si="12"/>
        <v>146</v>
      </c>
      <c r="B77" s="55">
        <f t="shared" si="7"/>
        <v>45.528038542140543</v>
      </c>
      <c r="C77" s="56">
        <f t="shared" si="8"/>
        <v>-40.94012115829333</v>
      </c>
      <c r="D77" s="56">
        <f t="shared" si="9"/>
        <v>-40.94012115829333</v>
      </c>
      <c r="E77" s="56">
        <f t="shared" si="10"/>
        <v>25.570784239733534</v>
      </c>
      <c r="F77" s="175">
        <f t="shared" si="11"/>
        <v>-10.781419534712583</v>
      </c>
    </row>
    <row r="78" spans="1:6" x14ac:dyDescent="0.25">
      <c r="A78" s="54">
        <f t="shared" si="12"/>
        <v>148</v>
      </c>
      <c r="B78" s="55">
        <f t="shared" si="7"/>
        <v>47.528038542140543</v>
      </c>
      <c r="C78" s="56">
        <f t="shared" si="8"/>
        <v>-42.94012115829333</v>
      </c>
      <c r="D78" s="56">
        <f t="shared" si="9"/>
        <v>-42.94012115829333</v>
      </c>
      <c r="E78" s="56">
        <f t="shared" si="10"/>
        <v>27.570784239733534</v>
      </c>
      <c r="F78" s="175">
        <f t="shared" si="11"/>
        <v>-10.781419534712583</v>
      </c>
    </row>
    <row r="79" spans="1:6" x14ac:dyDescent="0.25">
      <c r="A79" s="54">
        <f t="shared" si="12"/>
        <v>150</v>
      </c>
      <c r="B79" s="55">
        <f t="shared" si="7"/>
        <v>49.528038542140543</v>
      </c>
      <c r="C79" s="56">
        <f t="shared" si="8"/>
        <v>-44.94012115829333</v>
      </c>
      <c r="D79" s="56">
        <f t="shared" si="9"/>
        <v>-44.94012115829333</v>
      </c>
      <c r="E79" s="56">
        <f t="shared" si="10"/>
        <v>29.570784239733534</v>
      </c>
      <c r="F79" s="175">
        <f t="shared" si="11"/>
        <v>-10.781419534712583</v>
      </c>
    </row>
    <row r="80" spans="1:6" x14ac:dyDescent="0.25">
      <c r="A80" s="54">
        <f t="shared" si="12"/>
        <v>152</v>
      </c>
      <c r="B80" s="55">
        <f t="shared" si="7"/>
        <v>51.528038542140543</v>
      </c>
      <c r="C80" s="56">
        <f t="shared" si="8"/>
        <v>-46.94012115829333</v>
      </c>
      <c r="D80" s="56">
        <f t="shared" si="9"/>
        <v>-46.94012115829333</v>
      </c>
      <c r="E80" s="56">
        <f t="shared" si="10"/>
        <v>31.570784239733534</v>
      </c>
      <c r="F80" s="175">
        <f t="shared" si="11"/>
        <v>-10.781419534712583</v>
      </c>
    </row>
    <row r="81" spans="1:6" x14ac:dyDescent="0.25">
      <c r="A81" s="54">
        <f t="shared" si="12"/>
        <v>154</v>
      </c>
      <c r="B81" s="55">
        <f t="shared" si="7"/>
        <v>53.528038542140543</v>
      </c>
      <c r="C81" s="56">
        <f t="shared" si="8"/>
        <v>-48.94012115829333</v>
      </c>
      <c r="D81" s="56">
        <f t="shared" si="9"/>
        <v>-48.94012115829333</v>
      </c>
      <c r="E81" s="56">
        <f t="shared" si="10"/>
        <v>33.570784239733534</v>
      </c>
      <c r="F81" s="175">
        <f t="shared" si="11"/>
        <v>-10.781419534712583</v>
      </c>
    </row>
    <row r="82" spans="1:6" x14ac:dyDescent="0.25">
      <c r="A82" s="54">
        <f t="shared" si="12"/>
        <v>156</v>
      </c>
      <c r="B82" s="55">
        <f t="shared" si="7"/>
        <v>55.528038542140543</v>
      </c>
      <c r="C82" s="56">
        <f t="shared" si="8"/>
        <v>-50.94012115829333</v>
      </c>
      <c r="D82" s="56">
        <f t="shared" si="9"/>
        <v>-50.94012115829333</v>
      </c>
      <c r="E82" s="56">
        <f t="shared" si="10"/>
        <v>35.570784239733534</v>
      </c>
      <c r="F82" s="175">
        <f t="shared" si="11"/>
        <v>-10.781419534712583</v>
      </c>
    </row>
    <row r="83" spans="1:6" x14ac:dyDescent="0.25">
      <c r="A83" s="54">
        <f t="shared" si="12"/>
        <v>158</v>
      </c>
      <c r="B83" s="55">
        <f t="shared" si="7"/>
        <v>57.528038542140543</v>
      </c>
      <c r="C83" s="56">
        <f t="shared" si="8"/>
        <v>-52.94012115829333</v>
      </c>
      <c r="D83" s="56">
        <f t="shared" si="9"/>
        <v>-52.94012115829333</v>
      </c>
      <c r="E83" s="56">
        <f t="shared" si="10"/>
        <v>37.570784239733534</v>
      </c>
      <c r="F83" s="175">
        <f t="shared" si="11"/>
        <v>-10.781419534712583</v>
      </c>
    </row>
    <row r="84" spans="1:6" x14ac:dyDescent="0.25">
      <c r="A84" s="54">
        <f t="shared" si="12"/>
        <v>160</v>
      </c>
      <c r="B84" s="55">
        <f t="shared" si="7"/>
        <v>59.528038542140543</v>
      </c>
      <c r="C84" s="56">
        <f t="shared" si="8"/>
        <v>-54.94012115829333</v>
      </c>
      <c r="D84" s="56">
        <f t="shared" si="9"/>
        <v>-54.94012115829333</v>
      </c>
      <c r="E84" s="56">
        <f t="shared" si="10"/>
        <v>39.570784239733534</v>
      </c>
      <c r="F84" s="175">
        <f t="shared" si="11"/>
        <v>-10.781419534712583</v>
      </c>
    </row>
    <row r="85" spans="1:6" x14ac:dyDescent="0.25">
      <c r="A85" s="54">
        <f t="shared" si="12"/>
        <v>162</v>
      </c>
      <c r="B85" s="55">
        <f t="shared" si="7"/>
        <v>61.528038542140543</v>
      </c>
      <c r="C85" s="56">
        <f t="shared" si="8"/>
        <v>-56.94012115829333</v>
      </c>
      <c r="D85" s="56">
        <f t="shared" si="9"/>
        <v>-56.94012115829333</v>
      </c>
      <c r="E85" s="56">
        <f t="shared" si="10"/>
        <v>41.570784239733534</v>
      </c>
      <c r="F85" s="175">
        <f t="shared" si="11"/>
        <v>-10.781419534712583</v>
      </c>
    </row>
    <row r="86" spans="1:6" x14ac:dyDescent="0.25">
      <c r="A86" s="54">
        <f t="shared" si="12"/>
        <v>164</v>
      </c>
      <c r="B86" s="55">
        <f t="shared" si="7"/>
        <v>63.528038542140543</v>
      </c>
      <c r="C86" s="56">
        <f t="shared" si="8"/>
        <v>-58.94012115829333</v>
      </c>
      <c r="D86" s="56">
        <f t="shared" si="9"/>
        <v>-58.94012115829333</v>
      </c>
      <c r="E86" s="56">
        <f t="shared" si="10"/>
        <v>43.570784239733534</v>
      </c>
      <c r="F86" s="175">
        <f t="shared" si="11"/>
        <v>-10.781419534712583</v>
      </c>
    </row>
    <row r="87" spans="1:6" x14ac:dyDescent="0.25">
      <c r="A87" s="54">
        <f t="shared" si="12"/>
        <v>166</v>
      </c>
      <c r="B87" s="55">
        <f t="shared" si="7"/>
        <v>65.528038542140536</v>
      </c>
      <c r="C87" s="56">
        <f t="shared" si="8"/>
        <v>-60.94012115829333</v>
      </c>
      <c r="D87" s="56">
        <f t="shared" si="9"/>
        <v>-60.94012115829333</v>
      </c>
      <c r="E87" s="56">
        <f t="shared" si="10"/>
        <v>45.570784239733534</v>
      </c>
      <c r="F87" s="175">
        <f t="shared" si="11"/>
        <v>-10.78141953471259</v>
      </c>
    </row>
    <row r="88" spans="1:6" x14ac:dyDescent="0.25">
      <c r="A88" s="54">
        <f t="shared" si="12"/>
        <v>168</v>
      </c>
      <c r="B88" s="55">
        <f t="shared" si="7"/>
        <v>67.528038542140536</v>
      </c>
      <c r="C88" s="56">
        <f t="shared" si="8"/>
        <v>-62.94012115829333</v>
      </c>
      <c r="D88" s="56">
        <f t="shared" si="9"/>
        <v>-62.94012115829333</v>
      </c>
      <c r="E88" s="56">
        <f t="shared" si="10"/>
        <v>47.570784239733534</v>
      </c>
      <c r="F88" s="175">
        <f t="shared" si="11"/>
        <v>-10.78141953471259</v>
      </c>
    </row>
    <row r="89" spans="1:6" x14ac:dyDescent="0.25">
      <c r="A89" s="54">
        <f t="shared" si="12"/>
        <v>170</v>
      </c>
      <c r="B89" s="55">
        <f t="shared" si="7"/>
        <v>69.528038542140536</v>
      </c>
      <c r="C89" s="56">
        <f t="shared" si="8"/>
        <v>-64.940121158293323</v>
      </c>
      <c r="D89" s="56">
        <f t="shared" si="9"/>
        <v>-64.940121158293323</v>
      </c>
      <c r="E89" s="56">
        <f t="shared" si="10"/>
        <v>49.570784239733534</v>
      </c>
      <c r="F89" s="175">
        <f t="shared" si="11"/>
        <v>-10.781419534712576</v>
      </c>
    </row>
    <row r="90" spans="1:6" x14ac:dyDescent="0.25">
      <c r="A90" s="54">
        <f t="shared" si="12"/>
        <v>172</v>
      </c>
      <c r="B90" s="55">
        <f t="shared" si="7"/>
        <v>71.528038542140536</v>
      </c>
      <c r="C90" s="56">
        <f t="shared" si="8"/>
        <v>-66.940121158293323</v>
      </c>
      <c r="D90" s="56">
        <f t="shared" si="9"/>
        <v>-66.940121158293323</v>
      </c>
      <c r="E90" s="56">
        <f t="shared" si="10"/>
        <v>51.570784239733534</v>
      </c>
      <c r="F90" s="175">
        <f t="shared" si="11"/>
        <v>-10.781419534712576</v>
      </c>
    </row>
    <row r="91" spans="1:6" x14ac:dyDescent="0.25">
      <c r="A91" s="54">
        <f t="shared" si="12"/>
        <v>174</v>
      </c>
      <c r="B91" s="55">
        <f t="shared" si="7"/>
        <v>73.528038542140536</v>
      </c>
      <c r="C91" s="56">
        <f t="shared" si="8"/>
        <v>-68.940121158293323</v>
      </c>
      <c r="D91" s="56">
        <f t="shared" si="9"/>
        <v>-68.940121158293323</v>
      </c>
      <c r="E91" s="56">
        <f t="shared" si="10"/>
        <v>53.570784239733534</v>
      </c>
      <c r="F91" s="175">
        <f t="shared" si="11"/>
        <v>-10.781419534712576</v>
      </c>
    </row>
    <row r="92" spans="1:6" x14ac:dyDescent="0.25">
      <c r="A92" s="54">
        <f t="shared" si="12"/>
        <v>176</v>
      </c>
      <c r="B92" s="55">
        <f t="shared" si="7"/>
        <v>75.528038542140536</v>
      </c>
      <c r="C92" s="56">
        <f t="shared" si="8"/>
        <v>-70.940121158293323</v>
      </c>
      <c r="D92" s="56">
        <f t="shared" si="9"/>
        <v>-70.940121158293323</v>
      </c>
      <c r="E92" s="56">
        <f t="shared" si="10"/>
        <v>55.570784239733534</v>
      </c>
      <c r="F92" s="175">
        <f t="shared" si="11"/>
        <v>-10.781419534712576</v>
      </c>
    </row>
    <row r="93" spans="1:6" x14ac:dyDescent="0.25">
      <c r="A93" s="54">
        <f t="shared" si="12"/>
        <v>178</v>
      </c>
      <c r="B93" s="55">
        <f t="shared" si="7"/>
        <v>77.528038542140536</v>
      </c>
      <c r="C93" s="56">
        <f t="shared" si="8"/>
        <v>-72.940121158293323</v>
      </c>
      <c r="D93" s="56">
        <f t="shared" si="9"/>
        <v>-72.940121158293323</v>
      </c>
      <c r="E93" s="56">
        <f t="shared" si="10"/>
        <v>57.570784239733534</v>
      </c>
      <c r="F93" s="175">
        <f t="shared" si="11"/>
        <v>-10.781419534712576</v>
      </c>
    </row>
    <row r="94" spans="1:6" x14ac:dyDescent="0.25">
      <c r="A94" s="54">
        <f t="shared" si="12"/>
        <v>180</v>
      </c>
      <c r="B94" s="55">
        <f t="shared" si="7"/>
        <v>79.528038542140536</v>
      </c>
      <c r="C94" s="56">
        <f t="shared" si="8"/>
        <v>-74.940121158293323</v>
      </c>
      <c r="D94" s="56">
        <f t="shared" si="9"/>
        <v>-74.940121158293323</v>
      </c>
      <c r="E94" s="56">
        <f t="shared" si="10"/>
        <v>59.570784239733534</v>
      </c>
      <c r="F94" s="175">
        <f t="shared" si="11"/>
        <v>-10.781419534712576</v>
      </c>
    </row>
    <row r="95" spans="1:6" x14ac:dyDescent="0.25">
      <c r="A95" s="54">
        <f t="shared" si="12"/>
        <v>182</v>
      </c>
      <c r="B95" s="55">
        <f t="shared" si="7"/>
        <v>81.528038542140536</v>
      </c>
      <c r="C95" s="56">
        <f t="shared" si="8"/>
        <v>-76.940121158293323</v>
      </c>
      <c r="D95" s="56">
        <f t="shared" si="9"/>
        <v>-76.940121158293323</v>
      </c>
      <c r="E95" s="56">
        <f t="shared" si="10"/>
        <v>61.570784239733534</v>
      </c>
      <c r="F95" s="175">
        <f t="shared" si="11"/>
        <v>-10.781419534712576</v>
      </c>
    </row>
    <row r="96" spans="1:6" x14ac:dyDescent="0.25">
      <c r="A96" s="54">
        <f t="shared" si="12"/>
        <v>184</v>
      </c>
      <c r="B96" s="55">
        <f t="shared" si="7"/>
        <v>83.528038542140536</v>
      </c>
      <c r="C96" s="56">
        <f t="shared" si="8"/>
        <v>-78.940121158293323</v>
      </c>
      <c r="D96" s="56">
        <f t="shared" si="9"/>
        <v>-78.940121158293323</v>
      </c>
      <c r="E96" s="56">
        <f t="shared" si="10"/>
        <v>63.570784239733534</v>
      </c>
      <c r="F96" s="175">
        <f t="shared" si="11"/>
        <v>-10.781419534712576</v>
      </c>
    </row>
    <row r="97" spans="1:6" x14ac:dyDescent="0.25">
      <c r="A97" s="54">
        <f t="shared" si="12"/>
        <v>186</v>
      </c>
      <c r="B97" s="55">
        <f t="shared" si="7"/>
        <v>85.528038542140536</v>
      </c>
      <c r="C97" s="56">
        <f t="shared" si="8"/>
        <v>-80.940121158293323</v>
      </c>
      <c r="D97" s="56">
        <f t="shared" si="9"/>
        <v>-80.940121158293323</v>
      </c>
      <c r="E97" s="56">
        <f t="shared" si="10"/>
        <v>65.570784239733527</v>
      </c>
      <c r="F97" s="175">
        <f t="shared" si="11"/>
        <v>-10.781419534712583</v>
      </c>
    </row>
    <row r="98" spans="1:6" x14ac:dyDescent="0.25">
      <c r="A98" s="54">
        <f t="shared" si="12"/>
        <v>188</v>
      </c>
      <c r="B98" s="55">
        <f t="shared" si="7"/>
        <v>87.528038542140536</v>
      </c>
      <c r="C98" s="56">
        <f t="shared" si="8"/>
        <v>-82.940121158293323</v>
      </c>
      <c r="D98" s="56">
        <f t="shared" si="9"/>
        <v>-82.940121158293323</v>
      </c>
      <c r="E98" s="56">
        <f t="shared" si="10"/>
        <v>67.570784239733527</v>
      </c>
      <c r="F98" s="175">
        <f t="shared" si="11"/>
        <v>-10.781419534712583</v>
      </c>
    </row>
    <row r="99" spans="1:6" x14ac:dyDescent="0.25">
      <c r="A99" s="54">
        <f t="shared" si="12"/>
        <v>190</v>
      </c>
      <c r="B99" s="55">
        <f t="shared" si="7"/>
        <v>89.528038542140536</v>
      </c>
      <c r="C99" s="56">
        <f t="shared" si="8"/>
        <v>-84.940121158293323</v>
      </c>
      <c r="D99" s="56">
        <f t="shared" si="9"/>
        <v>-84.940121158293323</v>
      </c>
      <c r="E99" s="56">
        <f t="shared" si="10"/>
        <v>69.570784239733527</v>
      </c>
      <c r="F99" s="175">
        <f t="shared" si="11"/>
        <v>-10.781419534712583</v>
      </c>
    </row>
    <row r="100" spans="1:6" x14ac:dyDescent="0.25">
      <c r="A100" s="54">
        <f t="shared" si="12"/>
        <v>192</v>
      </c>
      <c r="B100" s="55">
        <f t="shared" si="7"/>
        <v>91.528038542140536</v>
      </c>
      <c r="C100" s="56">
        <f t="shared" si="8"/>
        <v>-86.940121158293323</v>
      </c>
      <c r="D100" s="56">
        <f t="shared" si="9"/>
        <v>-86.940121158293323</v>
      </c>
      <c r="E100" s="56">
        <f t="shared" si="10"/>
        <v>71.570784239733527</v>
      </c>
      <c r="F100" s="175">
        <f t="shared" si="11"/>
        <v>-10.781419534712583</v>
      </c>
    </row>
    <row r="101" spans="1:6" x14ac:dyDescent="0.25">
      <c r="A101" s="54">
        <f t="shared" si="12"/>
        <v>194</v>
      </c>
      <c r="B101" s="55">
        <f t="shared" si="7"/>
        <v>93.528038542140536</v>
      </c>
      <c r="C101" s="56">
        <f t="shared" si="8"/>
        <v>-88.940121158293323</v>
      </c>
      <c r="D101" s="56">
        <f t="shared" si="9"/>
        <v>-88.940121158293323</v>
      </c>
      <c r="E101" s="56">
        <f t="shared" si="10"/>
        <v>73.570784239733527</v>
      </c>
      <c r="F101" s="175">
        <f t="shared" si="11"/>
        <v>-10.781419534712583</v>
      </c>
    </row>
    <row r="102" spans="1:6" x14ac:dyDescent="0.25">
      <c r="A102" s="54">
        <f t="shared" si="12"/>
        <v>196</v>
      </c>
      <c r="B102" s="55">
        <f t="shared" si="7"/>
        <v>95.528038542140536</v>
      </c>
      <c r="C102" s="56">
        <f t="shared" si="8"/>
        <v>-90.940121158293323</v>
      </c>
      <c r="D102" s="56">
        <f t="shared" si="9"/>
        <v>-90.940121158293323</v>
      </c>
      <c r="E102" s="56">
        <f t="shared" si="10"/>
        <v>75.570784239733527</v>
      </c>
      <c r="F102" s="175">
        <f t="shared" si="11"/>
        <v>-10.781419534712583</v>
      </c>
    </row>
    <row r="103" spans="1:6" x14ac:dyDescent="0.25">
      <c r="A103" s="54">
        <f t="shared" si="12"/>
        <v>198</v>
      </c>
      <c r="B103" s="55">
        <f t="shared" si="7"/>
        <v>97.528038542140536</v>
      </c>
      <c r="C103" s="56">
        <f t="shared" si="8"/>
        <v>-92.940121158293323</v>
      </c>
      <c r="D103" s="56">
        <f t="shared" si="9"/>
        <v>-92.940121158293323</v>
      </c>
      <c r="E103" s="56">
        <f t="shared" si="10"/>
        <v>77.570784239733527</v>
      </c>
      <c r="F103" s="175">
        <f t="shared" si="11"/>
        <v>-10.781419534712583</v>
      </c>
    </row>
    <row r="104" spans="1:6" x14ac:dyDescent="0.25">
      <c r="A104" s="64">
        <f t="shared" si="12"/>
        <v>200</v>
      </c>
      <c r="B104" s="65">
        <f t="shared" si="7"/>
        <v>99.528038542140536</v>
      </c>
      <c r="C104" s="58">
        <f t="shared" si="8"/>
        <v>-94.940121158293323</v>
      </c>
      <c r="D104" s="58">
        <f t="shared" si="9"/>
        <v>-94.940121158293323</v>
      </c>
      <c r="E104" s="58">
        <f t="shared" si="10"/>
        <v>79.570784239733527</v>
      </c>
      <c r="F104" s="176">
        <f t="shared" si="11"/>
        <v>-10.781419534712583</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I2:I10"/>
    <mergeCell ref="K2:N2"/>
    <mergeCell ref="B3:E3"/>
    <mergeCell ref="K6:N6"/>
    <mergeCell ref="K7:N7"/>
    <mergeCell ref="K8:N8"/>
    <mergeCell ref="K9:N9"/>
    <mergeCell ref="K10:N10"/>
    <mergeCell ref="F1:F3"/>
    <mergeCell ref="A1:A2"/>
    <mergeCell ref="B1:B2"/>
    <mergeCell ref="C1:C2"/>
    <mergeCell ref="D1:D2"/>
    <mergeCell ref="E1:E2"/>
  </mergeCells>
  <pageMargins left="0.75" right="0.75" top="1" bottom="1" header="0.5" footer="0.5"/>
  <pageSetup orientation="portrait" r:id="rId1"/>
  <headerFooter alignWithMargins="0"/>
  <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1E59-139D-4D24-BEC0-A620DE0888E0}">
  <dimension ref="C1:AK134"/>
  <sheetViews>
    <sheetView zoomScale="110" zoomScaleNormal="110" workbookViewId="0">
      <selection activeCell="D5" sqref="D5"/>
    </sheetView>
  </sheetViews>
  <sheetFormatPr baseColWidth="10" defaultColWidth="9.21875" defaultRowHeight="13.2" x14ac:dyDescent="0.25"/>
  <cols>
    <col min="1" max="2" width="9.21875" style="42"/>
    <col min="3" max="3" width="10.33203125" style="42" bestFit="1" customWidth="1"/>
    <col min="4" max="25" width="9.21875" style="42"/>
    <col min="26" max="26" width="20.44140625" style="42" bestFit="1" customWidth="1"/>
    <col min="27" max="32" width="9.21875" style="42"/>
    <col min="33" max="33" width="12.44140625" style="42" bestFit="1" customWidth="1"/>
    <col min="34" max="34" width="20.21875" style="42" bestFit="1" customWidth="1"/>
    <col min="35" max="16384" width="9.21875" style="42"/>
  </cols>
  <sheetData>
    <row r="1" spans="3:37" x14ac:dyDescent="0.25">
      <c r="C1" s="43" t="s">
        <v>114</v>
      </c>
      <c r="D1" s="702" t="s">
        <v>193</v>
      </c>
      <c r="E1" s="702"/>
      <c r="F1" s="702"/>
    </row>
    <row r="2" spans="3:37" x14ac:dyDescent="0.25">
      <c r="D2" s="46" t="s">
        <v>111</v>
      </c>
      <c r="E2" s="46" t="s">
        <v>119</v>
      </c>
      <c r="F2" s="46" t="s">
        <v>117</v>
      </c>
    </row>
    <row r="3" spans="3:37" x14ac:dyDescent="0.25">
      <c r="D3" s="46" t="s">
        <v>143</v>
      </c>
      <c r="E3" s="46" t="s">
        <v>113</v>
      </c>
      <c r="F3" s="46">
        <v>100</v>
      </c>
      <c r="Z3" s="714" t="s">
        <v>89</v>
      </c>
      <c r="AA3" s="724" t="str">
        <f>AI5</f>
        <v>P</v>
      </c>
      <c r="AB3" s="724" t="str">
        <f>AJ5</f>
        <v>C</v>
      </c>
      <c r="AC3" s="724" t="s">
        <v>118</v>
      </c>
      <c r="AD3" s="723" t="s">
        <v>90</v>
      </c>
      <c r="AI3" s="43" t="s">
        <v>91</v>
      </c>
      <c r="AJ3" s="43" t="s">
        <v>92</v>
      </c>
      <c r="AK3" s="43" t="s">
        <v>93</v>
      </c>
    </row>
    <row r="4" spans="3:37" x14ac:dyDescent="0.25">
      <c r="D4" s="46" t="s">
        <v>125</v>
      </c>
      <c r="E4" s="46" t="s">
        <v>116</v>
      </c>
      <c r="F4" s="46">
        <v>100</v>
      </c>
      <c r="Z4" s="716"/>
      <c r="AA4" s="725"/>
      <c r="AB4" s="725"/>
      <c r="AC4" s="725"/>
      <c r="AD4" s="723"/>
      <c r="AG4" s="714" t="s">
        <v>94</v>
      </c>
      <c r="AH4" s="45" t="s">
        <v>95</v>
      </c>
      <c r="AI4" s="702">
        <v>100</v>
      </c>
      <c r="AJ4" s="702"/>
      <c r="AK4" s="702"/>
    </row>
    <row r="5" spans="3:37" x14ac:dyDescent="0.25">
      <c r="D5" s="50"/>
      <c r="E5" s="50"/>
      <c r="F5" s="50"/>
      <c r="Z5" s="47" t="s">
        <v>96</v>
      </c>
      <c r="AA5" s="717"/>
      <c r="AB5" s="717"/>
      <c r="AC5" s="718"/>
      <c r="AD5" s="714"/>
      <c r="AG5" s="715"/>
      <c r="AH5" s="50" t="s">
        <v>97</v>
      </c>
      <c r="AI5" s="46" t="s">
        <v>98</v>
      </c>
      <c r="AJ5" s="46" t="s">
        <v>99</v>
      </c>
      <c r="AK5" s="46" t="s">
        <v>118</v>
      </c>
    </row>
    <row r="6" spans="3:37" x14ac:dyDescent="0.25">
      <c r="D6" s="50"/>
      <c r="E6" s="50"/>
      <c r="Z6" s="51">
        <v>0</v>
      </c>
      <c r="AA6" s="52">
        <f>(MAX(IF($AA$3="C",1,-1)*(Z6-$AI$7),0)-IF($AI$12="Y",$AI$15,0))*$AI$6</f>
        <v>-93.669919372450082</v>
      </c>
      <c r="AB6" s="45">
        <f>(MAX(IF($AB$3="C",1,-1)*(Z6-$AJ$7),0)-IF($AI$12="Y",$AJ$15,0))*$AJ$6</f>
        <v>0</v>
      </c>
      <c r="AC6" s="48">
        <f>(Z6-$AK$7)*$AK$6</f>
        <v>0</v>
      </c>
      <c r="AD6" s="53">
        <f>SUM(AA6:AC6)*IF($E$6="Y",1,0)</f>
        <v>0</v>
      </c>
      <c r="AG6" s="715"/>
      <c r="AH6" s="50" t="s">
        <v>100</v>
      </c>
      <c r="AI6" s="46">
        <f>IF(D4="Long",1,IF(D4="Short",-1,0))</f>
        <v>-1</v>
      </c>
      <c r="AJ6" s="46">
        <f>IF(D3="Long",1,IF(D3="Short",-1,0))</f>
        <v>0</v>
      </c>
      <c r="AK6" s="46">
        <f>IF(D5="Long",1,IF(D5="Short",-1,0))</f>
        <v>0</v>
      </c>
    </row>
    <row r="7" spans="3:37" x14ac:dyDescent="0.25">
      <c r="Z7" s="54">
        <f>Z6+2</f>
        <v>2</v>
      </c>
      <c r="AA7" s="55">
        <f t="shared" ref="AA7:AA70" si="0">(MAX(IF($AA$3="C",1,-1)*(Z7-$AI$7),0)-IF($AI$12="Y",$AI$15,0))*$AI$6</f>
        <v>-91.669919372450082</v>
      </c>
      <c r="AB7" s="56">
        <f t="shared" ref="AB7:AB70" si="1">(MAX(IF($AB$3="C",1,-1)*(Z7-$AJ$7),0)-IF($AI$12="Y",$AJ$15,0))*$AJ$6</f>
        <v>0</v>
      </c>
      <c r="AC7" s="50">
        <f t="shared" ref="AC7:AC70" si="2">(Z7-$AK$7)*$AK$6</f>
        <v>0</v>
      </c>
      <c r="AD7" s="57">
        <f t="shared" ref="AD7:AD70" si="3">SUM(AA7:AC7)*IF($E$6="Y",1,0)</f>
        <v>0</v>
      </c>
      <c r="AG7" s="715"/>
      <c r="AH7" s="56" t="s">
        <v>101</v>
      </c>
      <c r="AI7" s="46">
        <f>F4</f>
        <v>100</v>
      </c>
      <c r="AJ7" s="46">
        <f>F3</f>
        <v>100</v>
      </c>
      <c r="AK7" s="46">
        <f>F5</f>
        <v>0</v>
      </c>
    </row>
    <row r="8" spans="3:37" x14ac:dyDescent="0.25">
      <c r="Z8" s="54">
        <f t="shared" ref="Z8:Z71" si="4">Z7+2</f>
        <v>4</v>
      </c>
      <c r="AA8" s="55">
        <f t="shared" si="0"/>
        <v>-89.669919372450082</v>
      </c>
      <c r="AB8" s="56">
        <f t="shared" si="1"/>
        <v>0</v>
      </c>
      <c r="AC8" s="50">
        <f t="shared" si="2"/>
        <v>0</v>
      </c>
      <c r="AD8" s="57">
        <f t="shared" si="3"/>
        <v>0</v>
      </c>
      <c r="AG8" s="715"/>
      <c r="AH8" s="56" t="s">
        <v>102</v>
      </c>
      <c r="AI8" s="719">
        <v>0.05</v>
      </c>
      <c r="AJ8" s="719"/>
      <c r="AK8" s="720"/>
    </row>
    <row r="9" spans="3:37" x14ac:dyDescent="0.25">
      <c r="Z9" s="54">
        <f t="shared" si="4"/>
        <v>6</v>
      </c>
      <c r="AA9" s="55">
        <f t="shared" si="0"/>
        <v>-87.669919372450082</v>
      </c>
      <c r="AB9" s="56">
        <f t="shared" si="1"/>
        <v>0</v>
      </c>
      <c r="AC9" s="50">
        <f t="shared" si="2"/>
        <v>0</v>
      </c>
      <c r="AD9" s="57">
        <f t="shared" si="3"/>
        <v>0</v>
      </c>
      <c r="AG9" s="715"/>
      <c r="AH9" s="56" t="s">
        <v>103</v>
      </c>
      <c r="AI9" s="719">
        <v>0.02</v>
      </c>
      <c r="AJ9" s="719"/>
      <c r="AK9" s="720"/>
    </row>
    <row r="10" spans="3:37" x14ac:dyDescent="0.25">
      <c r="Z10" s="54">
        <f t="shared" si="4"/>
        <v>8</v>
      </c>
      <c r="AA10" s="55">
        <f t="shared" si="0"/>
        <v>-85.669919372450082</v>
      </c>
      <c r="AB10" s="56">
        <f t="shared" si="1"/>
        <v>0</v>
      </c>
      <c r="AC10" s="50">
        <f t="shared" si="2"/>
        <v>0</v>
      </c>
      <c r="AD10" s="57">
        <f t="shared" si="3"/>
        <v>0</v>
      </c>
      <c r="AG10" s="715"/>
      <c r="AH10" s="56" t="s">
        <v>104</v>
      </c>
      <c r="AI10" s="719">
        <v>0.2</v>
      </c>
      <c r="AJ10" s="719"/>
      <c r="AK10" s="720"/>
    </row>
    <row r="11" spans="3:37" x14ac:dyDescent="0.25">
      <c r="Z11" s="54">
        <f t="shared" si="4"/>
        <v>10</v>
      </c>
      <c r="AA11" s="55">
        <f t="shared" si="0"/>
        <v>-83.669919372450082</v>
      </c>
      <c r="AB11" s="56">
        <f t="shared" si="1"/>
        <v>0</v>
      </c>
      <c r="AC11" s="50">
        <f t="shared" si="2"/>
        <v>0</v>
      </c>
      <c r="AD11" s="57">
        <f t="shared" si="3"/>
        <v>0</v>
      </c>
      <c r="AG11" s="715"/>
      <c r="AH11" s="58" t="s">
        <v>105</v>
      </c>
      <c r="AI11" s="721">
        <v>1</v>
      </c>
      <c r="AJ11" s="721"/>
      <c r="AK11" s="722"/>
    </row>
    <row r="12" spans="3:37" x14ac:dyDescent="0.25">
      <c r="Z12" s="54">
        <f t="shared" si="4"/>
        <v>12</v>
      </c>
      <c r="AA12" s="55">
        <f t="shared" si="0"/>
        <v>-81.669919372450082</v>
      </c>
      <c r="AB12" s="56">
        <f t="shared" si="1"/>
        <v>0</v>
      </c>
      <c r="AC12" s="50">
        <f t="shared" si="2"/>
        <v>0</v>
      </c>
      <c r="AD12" s="57">
        <f t="shared" si="3"/>
        <v>0</v>
      </c>
      <c r="AG12" s="716"/>
      <c r="AH12" s="59" t="s">
        <v>106</v>
      </c>
      <c r="AI12" s="721" t="str">
        <f>IF(D1="Payoff","N","Y")</f>
        <v>Y</v>
      </c>
      <c r="AJ12" s="721"/>
      <c r="AK12" s="722"/>
    </row>
    <row r="13" spans="3:37" x14ac:dyDescent="0.25">
      <c r="Z13" s="54">
        <f t="shared" si="4"/>
        <v>14</v>
      </c>
      <c r="AA13" s="55">
        <f t="shared" si="0"/>
        <v>-79.669919372450082</v>
      </c>
      <c r="AB13" s="56">
        <f t="shared" si="1"/>
        <v>0</v>
      </c>
      <c r="AC13" s="50">
        <f t="shared" si="2"/>
        <v>0</v>
      </c>
      <c r="AD13" s="57">
        <f t="shared" si="3"/>
        <v>0</v>
      </c>
      <c r="AG13" s="41" t="s">
        <v>107</v>
      </c>
      <c r="AH13" s="52" t="s">
        <v>108</v>
      </c>
      <c r="AI13" s="47">
        <f>(LN($AI$4/AI7)+(($AI$8-$AI$9+(0.5*$AI$10*$AI$10))*$AI$11))/($AI$10*SQRT($AI$11))</f>
        <v>0.25</v>
      </c>
      <c r="AJ13" s="47">
        <f t="shared" ref="AJ13:AK13" si="5">(LN($AI$4/AJ7)+(($AI$8-$AI$9+(0.5*$AI$10*$AI$10))*$AI$11))/($AI$10*SQRT($AI$11))</f>
        <v>0.25</v>
      </c>
      <c r="AK13" s="47" t="e">
        <f t="shared" si="5"/>
        <v>#DIV/0!</v>
      </c>
    </row>
    <row r="14" spans="3:37" x14ac:dyDescent="0.25">
      <c r="Z14" s="54">
        <f t="shared" si="4"/>
        <v>16</v>
      </c>
      <c r="AA14" s="55">
        <f t="shared" si="0"/>
        <v>-77.669919372450082</v>
      </c>
      <c r="AB14" s="56">
        <f t="shared" si="1"/>
        <v>0</v>
      </c>
      <c r="AC14" s="50">
        <f t="shared" si="2"/>
        <v>0</v>
      </c>
      <c r="AD14" s="57">
        <f t="shared" si="3"/>
        <v>0</v>
      </c>
      <c r="AG14" s="49"/>
      <c r="AH14" s="55" t="s">
        <v>109</v>
      </c>
      <c r="AI14" s="60">
        <f>AI13-($AI$10*SQRT($AI$11))</f>
        <v>4.9999999999999989E-2</v>
      </c>
      <c r="AJ14" s="60">
        <f t="shared" ref="AJ14:AK14" si="6">AJ13-($AI$10*SQRT($AI$11))</f>
        <v>4.9999999999999989E-2</v>
      </c>
      <c r="AK14" s="60" t="e">
        <f t="shared" si="6"/>
        <v>#DIV/0!</v>
      </c>
    </row>
    <row r="15" spans="3:37" x14ac:dyDescent="0.25">
      <c r="Z15" s="54">
        <f t="shared" si="4"/>
        <v>18</v>
      </c>
      <c r="AA15" s="55">
        <f t="shared" si="0"/>
        <v>-75.669919372450082</v>
      </c>
      <c r="AB15" s="56">
        <f t="shared" si="1"/>
        <v>0</v>
      </c>
      <c r="AC15" s="50">
        <f t="shared" si="2"/>
        <v>0</v>
      </c>
      <c r="AD15" s="57">
        <f t="shared" si="3"/>
        <v>0</v>
      </c>
      <c r="AG15" s="44"/>
      <c r="AH15" s="61" t="s">
        <v>110</v>
      </c>
      <c r="AI15" s="62">
        <f>IF(AI5="C",($AI$4*EXP(-$AI$9*$AI$11)*NORMSDIST(AI13))-($AI$7*EXP(-$AI$8*$AI$11)*NORMSDIST(AI14)),(-$AI$4*EXP(-$AI$9*$AI$11)*NORMSDIST(-AI13))-(-AI7*EXP(-$AI$8*$AI$11)*NORMSDIST(-AI14)))</f>
        <v>6.3300806275499184</v>
      </c>
      <c r="AJ15" s="62">
        <f t="shared" ref="AJ15:AK15" si="7">IF(AJ5="C",($AI$4*EXP(-$AI$9*$AI$11)*NORMSDIST(AJ13))-($AI$7*EXP(-$AI$8*$AI$11)*NORMSDIST(AJ14)),(-$AI$4*EXP(-$AI$9*$AI$11)*NORMSDIST(-AJ13))-(-AJ7*EXP(-$AI$8*$AI$11)*NORMSDIST(-AJ14)))</f>
        <v>9.2270055081540363</v>
      </c>
      <c r="AK15" s="62" t="e">
        <f t="shared" si="7"/>
        <v>#DIV/0!</v>
      </c>
    </row>
    <row r="16" spans="3:37" x14ac:dyDescent="0.25">
      <c r="Z16" s="54">
        <f t="shared" si="4"/>
        <v>20</v>
      </c>
      <c r="AA16" s="55">
        <f t="shared" si="0"/>
        <v>-73.669919372450082</v>
      </c>
      <c r="AB16" s="56">
        <f t="shared" si="1"/>
        <v>0</v>
      </c>
      <c r="AC16" s="50">
        <f t="shared" si="2"/>
        <v>0</v>
      </c>
      <c r="AD16" s="57">
        <f t="shared" si="3"/>
        <v>0</v>
      </c>
    </row>
    <row r="17" spans="26:33" x14ac:dyDescent="0.25">
      <c r="Z17" s="54">
        <f t="shared" si="4"/>
        <v>22</v>
      </c>
      <c r="AA17" s="55">
        <f t="shared" si="0"/>
        <v>-71.669919372450082</v>
      </c>
      <c r="AB17" s="56">
        <f t="shared" si="1"/>
        <v>0</v>
      </c>
      <c r="AC17" s="50">
        <f t="shared" si="2"/>
        <v>0</v>
      </c>
      <c r="AD17" s="57">
        <f t="shared" si="3"/>
        <v>0</v>
      </c>
    </row>
    <row r="18" spans="26:33" x14ac:dyDescent="0.25">
      <c r="Z18" s="54">
        <f t="shared" si="4"/>
        <v>24</v>
      </c>
      <c r="AA18" s="55">
        <f t="shared" si="0"/>
        <v>-69.669919372450082</v>
      </c>
      <c r="AB18" s="56">
        <f t="shared" si="1"/>
        <v>0</v>
      </c>
      <c r="AC18" s="50">
        <f t="shared" si="2"/>
        <v>0</v>
      </c>
      <c r="AD18" s="57">
        <f t="shared" si="3"/>
        <v>0</v>
      </c>
    </row>
    <row r="19" spans="26:33" x14ac:dyDescent="0.25">
      <c r="Z19" s="54">
        <f t="shared" si="4"/>
        <v>26</v>
      </c>
      <c r="AA19" s="55">
        <f t="shared" si="0"/>
        <v>-67.669919372450082</v>
      </c>
      <c r="AB19" s="56">
        <f t="shared" si="1"/>
        <v>0</v>
      </c>
      <c r="AC19" s="50">
        <f t="shared" si="2"/>
        <v>0</v>
      </c>
      <c r="AD19" s="57">
        <f t="shared" si="3"/>
        <v>0</v>
      </c>
    </row>
    <row r="20" spans="26:33" x14ac:dyDescent="0.25">
      <c r="Z20" s="54">
        <f t="shared" si="4"/>
        <v>28</v>
      </c>
      <c r="AA20" s="55">
        <f t="shared" si="0"/>
        <v>-65.669919372450082</v>
      </c>
      <c r="AB20" s="56">
        <f t="shared" si="1"/>
        <v>0</v>
      </c>
      <c r="AC20" s="50">
        <f t="shared" si="2"/>
        <v>0</v>
      </c>
      <c r="AD20" s="57">
        <f t="shared" si="3"/>
        <v>0</v>
      </c>
    </row>
    <row r="21" spans="26:33" x14ac:dyDescent="0.25">
      <c r="Z21" s="54">
        <f t="shared" si="4"/>
        <v>30</v>
      </c>
      <c r="AA21" s="55">
        <f t="shared" si="0"/>
        <v>-63.669919372450082</v>
      </c>
      <c r="AB21" s="56">
        <f t="shared" si="1"/>
        <v>0</v>
      </c>
      <c r="AC21" s="50">
        <f t="shared" si="2"/>
        <v>0</v>
      </c>
      <c r="AD21" s="57">
        <f t="shared" si="3"/>
        <v>0</v>
      </c>
    </row>
    <row r="22" spans="26:33" x14ac:dyDescent="0.25">
      <c r="Z22" s="54">
        <f t="shared" si="4"/>
        <v>32</v>
      </c>
      <c r="AA22" s="55">
        <f t="shared" si="0"/>
        <v>-61.669919372450082</v>
      </c>
      <c r="AB22" s="56">
        <f t="shared" si="1"/>
        <v>0</v>
      </c>
      <c r="AC22" s="50">
        <f t="shared" si="2"/>
        <v>0</v>
      </c>
      <c r="AD22" s="57">
        <f t="shared" si="3"/>
        <v>0</v>
      </c>
    </row>
    <row r="23" spans="26:33" x14ac:dyDescent="0.25">
      <c r="Z23" s="54">
        <f t="shared" si="4"/>
        <v>34</v>
      </c>
      <c r="AA23" s="55">
        <f t="shared" si="0"/>
        <v>-59.669919372450082</v>
      </c>
      <c r="AB23" s="56">
        <f t="shared" si="1"/>
        <v>0</v>
      </c>
      <c r="AC23" s="50">
        <f t="shared" si="2"/>
        <v>0</v>
      </c>
      <c r="AD23" s="57">
        <f t="shared" si="3"/>
        <v>0</v>
      </c>
    </row>
    <row r="24" spans="26:33" x14ac:dyDescent="0.25">
      <c r="Z24" s="54">
        <f t="shared" si="4"/>
        <v>36</v>
      </c>
      <c r="AA24" s="55">
        <f t="shared" si="0"/>
        <v>-57.669919372450082</v>
      </c>
      <c r="AB24" s="56">
        <f t="shared" si="1"/>
        <v>0</v>
      </c>
      <c r="AC24" s="50">
        <f t="shared" si="2"/>
        <v>0</v>
      </c>
      <c r="AD24" s="57">
        <f t="shared" si="3"/>
        <v>0</v>
      </c>
    </row>
    <row r="25" spans="26:33" x14ac:dyDescent="0.25">
      <c r="Z25" s="54">
        <f t="shared" si="4"/>
        <v>38</v>
      </c>
      <c r="AA25" s="55">
        <f t="shared" si="0"/>
        <v>-55.669919372450082</v>
      </c>
      <c r="AB25" s="56">
        <f t="shared" si="1"/>
        <v>0</v>
      </c>
      <c r="AC25" s="50">
        <f t="shared" si="2"/>
        <v>0</v>
      </c>
      <c r="AD25" s="57">
        <f t="shared" si="3"/>
        <v>0</v>
      </c>
    </row>
    <row r="26" spans="26:33" x14ac:dyDescent="0.25">
      <c r="Z26" s="54">
        <f t="shared" si="4"/>
        <v>40</v>
      </c>
      <c r="AA26" s="55">
        <f t="shared" si="0"/>
        <v>-53.669919372450082</v>
      </c>
      <c r="AB26" s="56">
        <f t="shared" si="1"/>
        <v>0</v>
      </c>
      <c r="AC26" s="50">
        <f t="shared" si="2"/>
        <v>0</v>
      </c>
      <c r="AD26" s="57">
        <f t="shared" si="3"/>
        <v>0</v>
      </c>
    </row>
    <row r="27" spans="26:33" x14ac:dyDescent="0.25">
      <c r="Z27" s="54">
        <f t="shared" si="4"/>
        <v>42</v>
      </c>
      <c r="AA27" s="55">
        <f t="shared" si="0"/>
        <v>-51.669919372450082</v>
      </c>
      <c r="AB27" s="56">
        <f t="shared" si="1"/>
        <v>0</v>
      </c>
      <c r="AC27" s="50">
        <f t="shared" si="2"/>
        <v>0</v>
      </c>
      <c r="AD27" s="57">
        <f t="shared" si="3"/>
        <v>0</v>
      </c>
      <c r="AG27" s="63"/>
    </row>
    <row r="28" spans="26:33" x14ac:dyDescent="0.25">
      <c r="Z28" s="54">
        <f t="shared" si="4"/>
        <v>44</v>
      </c>
      <c r="AA28" s="55">
        <f t="shared" si="0"/>
        <v>-49.669919372450082</v>
      </c>
      <c r="AB28" s="56">
        <f t="shared" si="1"/>
        <v>0</v>
      </c>
      <c r="AC28" s="50">
        <f t="shared" si="2"/>
        <v>0</v>
      </c>
      <c r="AD28" s="57">
        <f t="shared" si="3"/>
        <v>0</v>
      </c>
    </row>
    <row r="29" spans="26:33" x14ac:dyDescent="0.25">
      <c r="Z29" s="54">
        <f t="shared" si="4"/>
        <v>46</v>
      </c>
      <c r="AA29" s="55">
        <f t="shared" si="0"/>
        <v>-47.669919372450082</v>
      </c>
      <c r="AB29" s="56">
        <f t="shared" si="1"/>
        <v>0</v>
      </c>
      <c r="AC29" s="50">
        <f t="shared" si="2"/>
        <v>0</v>
      </c>
      <c r="AD29" s="57">
        <f t="shared" si="3"/>
        <v>0</v>
      </c>
    </row>
    <row r="30" spans="26:33" x14ac:dyDescent="0.25">
      <c r="Z30" s="54">
        <f t="shared" si="4"/>
        <v>48</v>
      </c>
      <c r="AA30" s="55">
        <f t="shared" si="0"/>
        <v>-45.669919372450082</v>
      </c>
      <c r="AB30" s="56">
        <f t="shared" si="1"/>
        <v>0</v>
      </c>
      <c r="AC30" s="50">
        <f t="shared" si="2"/>
        <v>0</v>
      </c>
      <c r="AD30" s="57">
        <f t="shared" si="3"/>
        <v>0</v>
      </c>
    </row>
    <row r="31" spans="26:33" x14ac:dyDescent="0.25">
      <c r="Z31" s="54">
        <f t="shared" si="4"/>
        <v>50</v>
      </c>
      <c r="AA31" s="55">
        <f t="shared" si="0"/>
        <v>-43.669919372450082</v>
      </c>
      <c r="AB31" s="56">
        <f t="shared" si="1"/>
        <v>0</v>
      </c>
      <c r="AC31" s="50">
        <f t="shared" si="2"/>
        <v>0</v>
      </c>
      <c r="AD31" s="57">
        <f t="shared" si="3"/>
        <v>0</v>
      </c>
    </row>
    <row r="32" spans="26:33" x14ac:dyDescent="0.25">
      <c r="Z32" s="54">
        <f t="shared" si="4"/>
        <v>52</v>
      </c>
      <c r="AA32" s="55">
        <f t="shared" si="0"/>
        <v>-41.669919372450082</v>
      </c>
      <c r="AB32" s="56">
        <f t="shared" si="1"/>
        <v>0</v>
      </c>
      <c r="AC32" s="50">
        <f t="shared" si="2"/>
        <v>0</v>
      </c>
      <c r="AD32" s="57">
        <f t="shared" si="3"/>
        <v>0</v>
      </c>
    </row>
    <row r="33" spans="26:30" x14ac:dyDescent="0.25">
      <c r="Z33" s="54">
        <f t="shared" si="4"/>
        <v>54</v>
      </c>
      <c r="AA33" s="55">
        <f t="shared" si="0"/>
        <v>-39.669919372450082</v>
      </c>
      <c r="AB33" s="56">
        <f t="shared" si="1"/>
        <v>0</v>
      </c>
      <c r="AC33" s="50">
        <f t="shared" si="2"/>
        <v>0</v>
      </c>
      <c r="AD33" s="57">
        <f t="shared" si="3"/>
        <v>0</v>
      </c>
    </row>
    <row r="34" spans="26:30" x14ac:dyDescent="0.25">
      <c r="Z34" s="54">
        <f t="shared" si="4"/>
        <v>56</v>
      </c>
      <c r="AA34" s="55">
        <f t="shared" si="0"/>
        <v>-37.669919372450082</v>
      </c>
      <c r="AB34" s="56">
        <f t="shared" si="1"/>
        <v>0</v>
      </c>
      <c r="AC34" s="50">
        <f t="shared" si="2"/>
        <v>0</v>
      </c>
      <c r="AD34" s="57">
        <f t="shared" si="3"/>
        <v>0</v>
      </c>
    </row>
    <row r="35" spans="26:30" x14ac:dyDescent="0.25">
      <c r="Z35" s="54">
        <f t="shared" si="4"/>
        <v>58</v>
      </c>
      <c r="AA35" s="55">
        <f t="shared" si="0"/>
        <v>-35.669919372450082</v>
      </c>
      <c r="AB35" s="56">
        <f t="shared" si="1"/>
        <v>0</v>
      </c>
      <c r="AC35" s="50">
        <f t="shared" si="2"/>
        <v>0</v>
      </c>
      <c r="AD35" s="57">
        <f t="shared" si="3"/>
        <v>0</v>
      </c>
    </row>
    <row r="36" spans="26:30" x14ac:dyDescent="0.25">
      <c r="Z36" s="54">
        <f t="shared" si="4"/>
        <v>60</v>
      </c>
      <c r="AA36" s="55">
        <f t="shared" si="0"/>
        <v>-33.669919372450082</v>
      </c>
      <c r="AB36" s="56">
        <f t="shared" si="1"/>
        <v>0</v>
      </c>
      <c r="AC36" s="50">
        <f t="shared" si="2"/>
        <v>0</v>
      </c>
      <c r="AD36" s="57">
        <f t="shared" si="3"/>
        <v>0</v>
      </c>
    </row>
    <row r="37" spans="26:30" x14ac:dyDescent="0.25">
      <c r="Z37" s="54">
        <f t="shared" si="4"/>
        <v>62</v>
      </c>
      <c r="AA37" s="55">
        <f t="shared" si="0"/>
        <v>-31.669919372450082</v>
      </c>
      <c r="AB37" s="56">
        <f t="shared" si="1"/>
        <v>0</v>
      </c>
      <c r="AC37" s="50">
        <f t="shared" si="2"/>
        <v>0</v>
      </c>
      <c r="AD37" s="57">
        <f t="shared" si="3"/>
        <v>0</v>
      </c>
    </row>
    <row r="38" spans="26:30" x14ac:dyDescent="0.25">
      <c r="Z38" s="54">
        <f t="shared" si="4"/>
        <v>64</v>
      </c>
      <c r="AA38" s="55">
        <f t="shared" si="0"/>
        <v>-29.669919372450082</v>
      </c>
      <c r="AB38" s="56">
        <f t="shared" si="1"/>
        <v>0</v>
      </c>
      <c r="AC38" s="50">
        <f t="shared" si="2"/>
        <v>0</v>
      </c>
      <c r="AD38" s="57">
        <f t="shared" si="3"/>
        <v>0</v>
      </c>
    </row>
    <row r="39" spans="26:30" x14ac:dyDescent="0.25">
      <c r="Z39" s="54">
        <f t="shared" si="4"/>
        <v>66</v>
      </c>
      <c r="AA39" s="55">
        <f t="shared" si="0"/>
        <v>-27.669919372450082</v>
      </c>
      <c r="AB39" s="56">
        <f t="shared" si="1"/>
        <v>0</v>
      </c>
      <c r="AC39" s="50">
        <f t="shared" si="2"/>
        <v>0</v>
      </c>
      <c r="AD39" s="57">
        <f t="shared" si="3"/>
        <v>0</v>
      </c>
    </row>
    <row r="40" spans="26:30" x14ac:dyDescent="0.25">
      <c r="Z40" s="54">
        <f t="shared" si="4"/>
        <v>68</v>
      </c>
      <c r="AA40" s="55">
        <f t="shared" si="0"/>
        <v>-25.669919372450082</v>
      </c>
      <c r="AB40" s="56">
        <f t="shared" si="1"/>
        <v>0</v>
      </c>
      <c r="AC40" s="50">
        <f t="shared" si="2"/>
        <v>0</v>
      </c>
      <c r="AD40" s="57">
        <f t="shared" si="3"/>
        <v>0</v>
      </c>
    </row>
    <row r="41" spans="26:30" x14ac:dyDescent="0.25">
      <c r="Z41" s="54">
        <f t="shared" si="4"/>
        <v>70</v>
      </c>
      <c r="AA41" s="55">
        <f t="shared" si="0"/>
        <v>-23.669919372450082</v>
      </c>
      <c r="AB41" s="56">
        <f t="shared" si="1"/>
        <v>0</v>
      </c>
      <c r="AC41" s="50">
        <f t="shared" si="2"/>
        <v>0</v>
      </c>
      <c r="AD41" s="57">
        <f t="shared" si="3"/>
        <v>0</v>
      </c>
    </row>
    <row r="42" spans="26:30" x14ac:dyDescent="0.25">
      <c r="Z42" s="54">
        <f t="shared" si="4"/>
        <v>72</v>
      </c>
      <c r="AA42" s="55">
        <f t="shared" si="0"/>
        <v>-21.669919372450082</v>
      </c>
      <c r="AB42" s="56">
        <f t="shared" si="1"/>
        <v>0</v>
      </c>
      <c r="AC42" s="50">
        <f t="shared" si="2"/>
        <v>0</v>
      </c>
      <c r="AD42" s="57">
        <f t="shared" si="3"/>
        <v>0</v>
      </c>
    </row>
    <row r="43" spans="26:30" x14ac:dyDescent="0.25">
      <c r="Z43" s="54">
        <f t="shared" si="4"/>
        <v>74</v>
      </c>
      <c r="AA43" s="55">
        <f t="shared" si="0"/>
        <v>-19.669919372450082</v>
      </c>
      <c r="AB43" s="56">
        <f t="shared" si="1"/>
        <v>0</v>
      </c>
      <c r="AC43" s="50">
        <f t="shared" si="2"/>
        <v>0</v>
      </c>
      <c r="AD43" s="57">
        <f t="shared" si="3"/>
        <v>0</v>
      </c>
    </row>
    <row r="44" spans="26:30" x14ac:dyDescent="0.25">
      <c r="Z44" s="54">
        <f t="shared" si="4"/>
        <v>76</v>
      </c>
      <c r="AA44" s="55">
        <f t="shared" si="0"/>
        <v>-17.669919372450082</v>
      </c>
      <c r="AB44" s="56">
        <f t="shared" si="1"/>
        <v>0</v>
      </c>
      <c r="AC44" s="50">
        <f t="shared" si="2"/>
        <v>0</v>
      </c>
      <c r="AD44" s="57">
        <f t="shared" si="3"/>
        <v>0</v>
      </c>
    </row>
    <row r="45" spans="26:30" x14ac:dyDescent="0.25">
      <c r="Z45" s="54">
        <f t="shared" si="4"/>
        <v>78</v>
      </c>
      <c r="AA45" s="55">
        <f t="shared" si="0"/>
        <v>-15.669919372450082</v>
      </c>
      <c r="AB45" s="56">
        <f t="shared" si="1"/>
        <v>0</v>
      </c>
      <c r="AC45" s="50">
        <f t="shared" si="2"/>
        <v>0</v>
      </c>
      <c r="AD45" s="57">
        <f t="shared" si="3"/>
        <v>0</v>
      </c>
    </row>
    <row r="46" spans="26:30" x14ac:dyDescent="0.25">
      <c r="Z46" s="54">
        <f t="shared" si="4"/>
        <v>80</v>
      </c>
      <c r="AA46" s="55">
        <f t="shared" si="0"/>
        <v>-13.669919372450082</v>
      </c>
      <c r="AB46" s="56">
        <f t="shared" si="1"/>
        <v>0</v>
      </c>
      <c r="AC46" s="50">
        <f t="shared" si="2"/>
        <v>0</v>
      </c>
      <c r="AD46" s="57">
        <f t="shared" si="3"/>
        <v>0</v>
      </c>
    </row>
    <row r="47" spans="26:30" x14ac:dyDescent="0.25">
      <c r="Z47" s="54">
        <f t="shared" si="4"/>
        <v>82</v>
      </c>
      <c r="AA47" s="55">
        <f t="shared" si="0"/>
        <v>-11.669919372450082</v>
      </c>
      <c r="AB47" s="56">
        <f t="shared" si="1"/>
        <v>0</v>
      </c>
      <c r="AC47" s="50">
        <f t="shared" si="2"/>
        <v>0</v>
      </c>
      <c r="AD47" s="57">
        <f t="shared" si="3"/>
        <v>0</v>
      </c>
    </row>
    <row r="48" spans="26:30" x14ac:dyDescent="0.25">
      <c r="Z48" s="54">
        <f t="shared" si="4"/>
        <v>84</v>
      </c>
      <c r="AA48" s="55">
        <f t="shared" si="0"/>
        <v>-9.6699193724500816</v>
      </c>
      <c r="AB48" s="56">
        <f t="shared" si="1"/>
        <v>0</v>
      </c>
      <c r="AC48" s="50">
        <f t="shared" si="2"/>
        <v>0</v>
      </c>
      <c r="AD48" s="57">
        <f t="shared" si="3"/>
        <v>0</v>
      </c>
    </row>
    <row r="49" spans="26:30" x14ac:dyDescent="0.25">
      <c r="Z49" s="54">
        <f t="shared" si="4"/>
        <v>86</v>
      </c>
      <c r="AA49" s="55">
        <f t="shared" si="0"/>
        <v>-7.6699193724500816</v>
      </c>
      <c r="AB49" s="56">
        <f t="shared" si="1"/>
        <v>0</v>
      </c>
      <c r="AC49" s="50">
        <f t="shared" si="2"/>
        <v>0</v>
      </c>
      <c r="AD49" s="57">
        <f t="shared" si="3"/>
        <v>0</v>
      </c>
    </row>
    <row r="50" spans="26:30" x14ac:dyDescent="0.25">
      <c r="Z50" s="54">
        <f t="shared" si="4"/>
        <v>88</v>
      </c>
      <c r="AA50" s="55">
        <f t="shared" si="0"/>
        <v>-5.6699193724500816</v>
      </c>
      <c r="AB50" s="56">
        <f t="shared" si="1"/>
        <v>0</v>
      </c>
      <c r="AC50" s="50">
        <f t="shared" si="2"/>
        <v>0</v>
      </c>
      <c r="AD50" s="57">
        <f t="shared" si="3"/>
        <v>0</v>
      </c>
    </row>
    <row r="51" spans="26:30" x14ac:dyDescent="0.25">
      <c r="Z51" s="54">
        <f t="shared" si="4"/>
        <v>90</v>
      </c>
      <c r="AA51" s="55">
        <f t="shared" si="0"/>
        <v>-3.6699193724500816</v>
      </c>
      <c r="AB51" s="56">
        <f t="shared" si="1"/>
        <v>0</v>
      </c>
      <c r="AC51" s="50">
        <f t="shared" si="2"/>
        <v>0</v>
      </c>
      <c r="AD51" s="57">
        <f t="shared" si="3"/>
        <v>0</v>
      </c>
    </row>
    <row r="52" spans="26:30" x14ac:dyDescent="0.25">
      <c r="Z52" s="54">
        <f t="shared" si="4"/>
        <v>92</v>
      </c>
      <c r="AA52" s="55">
        <f t="shared" si="0"/>
        <v>-1.6699193724500816</v>
      </c>
      <c r="AB52" s="56">
        <f t="shared" si="1"/>
        <v>0</v>
      </c>
      <c r="AC52" s="50">
        <f t="shared" si="2"/>
        <v>0</v>
      </c>
      <c r="AD52" s="57">
        <f t="shared" si="3"/>
        <v>0</v>
      </c>
    </row>
    <row r="53" spans="26:30" x14ac:dyDescent="0.25">
      <c r="Z53" s="54">
        <f t="shared" si="4"/>
        <v>94</v>
      </c>
      <c r="AA53" s="55">
        <f t="shared" si="0"/>
        <v>0.3300806275499184</v>
      </c>
      <c r="AB53" s="56">
        <f t="shared" si="1"/>
        <v>0</v>
      </c>
      <c r="AC53" s="50">
        <f t="shared" si="2"/>
        <v>0</v>
      </c>
      <c r="AD53" s="57">
        <f t="shared" si="3"/>
        <v>0</v>
      </c>
    </row>
    <row r="54" spans="26:30" x14ac:dyDescent="0.25">
      <c r="Z54" s="54">
        <f t="shared" si="4"/>
        <v>96</v>
      </c>
      <c r="AA54" s="55">
        <f t="shared" si="0"/>
        <v>2.3300806275499184</v>
      </c>
      <c r="AB54" s="56">
        <f t="shared" si="1"/>
        <v>0</v>
      </c>
      <c r="AC54" s="50">
        <f t="shared" si="2"/>
        <v>0</v>
      </c>
      <c r="AD54" s="57">
        <f t="shared" si="3"/>
        <v>0</v>
      </c>
    </row>
    <row r="55" spans="26:30" x14ac:dyDescent="0.25">
      <c r="Z55" s="54">
        <f t="shared" si="4"/>
        <v>98</v>
      </c>
      <c r="AA55" s="55">
        <f t="shared" si="0"/>
        <v>4.3300806275499184</v>
      </c>
      <c r="AB55" s="56">
        <f t="shared" si="1"/>
        <v>0</v>
      </c>
      <c r="AC55" s="50">
        <f t="shared" si="2"/>
        <v>0</v>
      </c>
      <c r="AD55" s="57">
        <f t="shared" si="3"/>
        <v>0</v>
      </c>
    </row>
    <row r="56" spans="26:30" x14ac:dyDescent="0.25">
      <c r="Z56" s="54">
        <f t="shared" si="4"/>
        <v>100</v>
      </c>
      <c r="AA56" s="55">
        <f t="shared" si="0"/>
        <v>6.3300806275499184</v>
      </c>
      <c r="AB56" s="56">
        <f t="shared" si="1"/>
        <v>0</v>
      </c>
      <c r="AC56" s="50">
        <f t="shared" si="2"/>
        <v>0</v>
      </c>
      <c r="AD56" s="57">
        <f t="shared" si="3"/>
        <v>0</v>
      </c>
    </row>
    <row r="57" spans="26:30" x14ac:dyDescent="0.25">
      <c r="Z57" s="54">
        <f t="shared" si="4"/>
        <v>102</v>
      </c>
      <c r="AA57" s="55">
        <f t="shared" si="0"/>
        <v>6.3300806275499184</v>
      </c>
      <c r="AB57" s="56">
        <f t="shared" si="1"/>
        <v>0</v>
      </c>
      <c r="AC57" s="50">
        <f t="shared" si="2"/>
        <v>0</v>
      </c>
      <c r="AD57" s="57">
        <f t="shared" si="3"/>
        <v>0</v>
      </c>
    </row>
    <row r="58" spans="26:30" x14ac:dyDescent="0.25">
      <c r="Z58" s="54">
        <f t="shared" si="4"/>
        <v>104</v>
      </c>
      <c r="AA58" s="55">
        <f t="shared" si="0"/>
        <v>6.3300806275499184</v>
      </c>
      <c r="AB58" s="56">
        <f t="shared" si="1"/>
        <v>0</v>
      </c>
      <c r="AC58" s="50">
        <f t="shared" si="2"/>
        <v>0</v>
      </c>
      <c r="AD58" s="57">
        <f t="shared" si="3"/>
        <v>0</v>
      </c>
    </row>
    <row r="59" spans="26:30" x14ac:dyDescent="0.25">
      <c r="Z59" s="54">
        <f t="shared" si="4"/>
        <v>106</v>
      </c>
      <c r="AA59" s="55">
        <f t="shared" si="0"/>
        <v>6.3300806275499184</v>
      </c>
      <c r="AB59" s="56">
        <f t="shared" si="1"/>
        <v>0</v>
      </c>
      <c r="AC59" s="50">
        <f t="shared" si="2"/>
        <v>0</v>
      </c>
      <c r="AD59" s="57">
        <f t="shared" si="3"/>
        <v>0</v>
      </c>
    </row>
    <row r="60" spans="26:30" x14ac:dyDescent="0.25">
      <c r="Z60" s="54">
        <f t="shared" si="4"/>
        <v>108</v>
      </c>
      <c r="AA60" s="55">
        <f t="shared" si="0"/>
        <v>6.3300806275499184</v>
      </c>
      <c r="AB60" s="56">
        <f t="shared" si="1"/>
        <v>0</v>
      </c>
      <c r="AC60" s="50">
        <f t="shared" si="2"/>
        <v>0</v>
      </c>
      <c r="AD60" s="57">
        <f t="shared" si="3"/>
        <v>0</v>
      </c>
    </row>
    <row r="61" spans="26:30" x14ac:dyDescent="0.25">
      <c r="Z61" s="54">
        <f t="shared" si="4"/>
        <v>110</v>
      </c>
      <c r="AA61" s="55">
        <f t="shared" si="0"/>
        <v>6.3300806275499184</v>
      </c>
      <c r="AB61" s="56">
        <f t="shared" si="1"/>
        <v>0</v>
      </c>
      <c r="AC61" s="50">
        <f t="shared" si="2"/>
        <v>0</v>
      </c>
      <c r="AD61" s="57">
        <f t="shared" si="3"/>
        <v>0</v>
      </c>
    </row>
    <row r="62" spans="26:30" x14ac:dyDescent="0.25">
      <c r="Z62" s="54">
        <f t="shared" si="4"/>
        <v>112</v>
      </c>
      <c r="AA62" s="55">
        <f t="shared" si="0"/>
        <v>6.3300806275499184</v>
      </c>
      <c r="AB62" s="56">
        <f t="shared" si="1"/>
        <v>0</v>
      </c>
      <c r="AC62" s="50">
        <f t="shared" si="2"/>
        <v>0</v>
      </c>
      <c r="AD62" s="57">
        <f t="shared" si="3"/>
        <v>0</v>
      </c>
    </row>
    <row r="63" spans="26:30" x14ac:dyDescent="0.25">
      <c r="Z63" s="54">
        <f t="shared" si="4"/>
        <v>114</v>
      </c>
      <c r="AA63" s="55">
        <f t="shared" si="0"/>
        <v>6.3300806275499184</v>
      </c>
      <c r="AB63" s="56">
        <f t="shared" si="1"/>
        <v>0</v>
      </c>
      <c r="AC63" s="50">
        <f t="shared" si="2"/>
        <v>0</v>
      </c>
      <c r="AD63" s="57">
        <f t="shared" si="3"/>
        <v>0</v>
      </c>
    </row>
    <row r="64" spans="26:30" x14ac:dyDescent="0.25">
      <c r="Z64" s="54">
        <f t="shared" si="4"/>
        <v>116</v>
      </c>
      <c r="AA64" s="55">
        <f t="shared" si="0"/>
        <v>6.3300806275499184</v>
      </c>
      <c r="AB64" s="56">
        <f t="shared" si="1"/>
        <v>0</v>
      </c>
      <c r="AC64" s="50">
        <f t="shared" si="2"/>
        <v>0</v>
      </c>
      <c r="AD64" s="57">
        <f t="shared" si="3"/>
        <v>0</v>
      </c>
    </row>
    <row r="65" spans="26:30" x14ac:dyDescent="0.25">
      <c r="Z65" s="54">
        <f t="shared" si="4"/>
        <v>118</v>
      </c>
      <c r="AA65" s="55">
        <f t="shared" si="0"/>
        <v>6.3300806275499184</v>
      </c>
      <c r="AB65" s="56">
        <f t="shared" si="1"/>
        <v>0</v>
      </c>
      <c r="AC65" s="50">
        <f t="shared" si="2"/>
        <v>0</v>
      </c>
      <c r="AD65" s="57">
        <f t="shared" si="3"/>
        <v>0</v>
      </c>
    </row>
    <row r="66" spans="26:30" x14ac:dyDescent="0.25">
      <c r="Z66" s="54">
        <f t="shared" si="4"/>
        <v>120</v>
      </c>
      <c r="AA66" s="55">
        <f t="shared" si="0"/>
        <v>6.3300806275499184</v>
      </c>
      <c r="AB66" s="56">
        <f t="shared" si="1"/>
        <v>0</v>
      </c>
      <c r="AC66" s="50">
        <f t="shared" si="2"/>
        <v>0</v>
      </c>
      <c r="AD66" s="57">
        <f t="shared" si="3"/>
        <v>0</v>
      </c>
    </row>
    <row r="67" spans="26:30" x14ac:dyDescent="0.25">
      <c r="Z67" s="54">
        <f t="shared" si="4"/>
        <v>122</v>
      </c>
      <c r="AA67" s="55">
        <f t="shared" si="0"/>
        <v>6.3300806275499184</v>
      </c>
      <c r="AB67" s="56">
        <f t="shared" si="1"/>
        <v>0</v>
      </c>
      <c r="AC67" s="50">
        <f t="shared" si="2"/>
        <v>0</v>
      </c>
      <c r="AD67" s="57">
        <f t="shared" si="3"/>
        <v>0</v>
      </c>
    </row>
    <row r="68" spans="26:30" x14ac:dyDescent="0.25">
      <c r="Z68" s="54">
        <f t="shared" si="4"/>
        <v>124</v>
      </c>
      <c r="AA68" s="55">
        <f t="shared" si="0"/>
        <v>6.3300806275499184</v>
      </c>
      <c r="AB68" s="56">
        <f t="shared" si="1"/>
        <v>0</v>
      </c>
      <c r="AC68" s="50">
        <f t="shared" si="2"/>
        <v>0</v>
      </c>
      <c r="AD68" s="57">
        <f t="shared" si="3"/>
        <v>0</v>
      </c>
    </row>
    <row r="69" spans="26:30" x14ac:dyDescent="0.25">
      <c r="Z69" s="54">
        <f t="shared" si="4"/>
        <v>126</v>
      </c>
      <c r="AA69" s="55">
        <f t="shared" si="0"/>
        <v>6.3300806275499184</v>
      </c>
      <c r="AB69" s="56">
        <f t="shared" si="1"/>
        <v>0</v>
      </c>
      <c r="AC69" s="50">
        <f t="shared" si="2"/>
        <v>0</v>
      </c>
      <c r="AD69" s="57">
        <f t="shared" si="3"/>
        <v>0</v>
      </c>
    </row>
    <row r="70" spans="26:30" x14ac:dyDescent="0.25">
      <c r="Z70" s="54">
        <f t="shared" si="4"/>
        <v>128</v>
      </c>
      <c r="AA70" s="55">
        <f t="shared" si="0"/>
        <v>6.3300806275499184</v>
      </c>
      <c r="AB70" s="56">
        <f t="shared" si="1"/>
        <v>0</v>
      </c>
      <c r="AC70" s="50">
        <f t="shared" si="2"/>
        <v>0</v>
      </c>
      <c r="AD70" s="57">
        <f t="shared" si="3"/>
        <v>0</v>
      </c>
    </row>
    <row r="71" spans="26:30" x14ac:dyDescent="0.25">
      <c r="Z71" s="54">
        <f t="shared" si="4"/>
        <v>130</v>
      </c>
      <c r="AA71" s="55">
        <f t="shared" ref="AA71:AA106" si="8">(MAX(IF($AA$3="C",1,-1)*(Z71-$AI$7),0)-IF($AI$12="Y",$AI$15,0))*$AI$6</f>
        <v>6.3300806275499184</v>
      </c>
      <c r="AB71" s="56">
        <f t="shared" ref="AB71:AB106" si="9">(MAX(IF($AB$3="C",1,-1)*(Z71-$AJ$7),0)-IF($AI$12="Y",$AJ$15,0))*$AJ$6</f>
        <v>0</v>
      </c>
      <c r="AC71" s="50">
        <f t="shared" ref="AC71:AC106" si="10">(Z71-$AK$7)*$AK$6</f>
        <v>0</v>
      </c>
      <c r="AD71" s="57">
        <f t="shared" ref="AD71:AD106" si="11">SUM(AA71:AC71)*IF($E$6="Y",1,0)</f>
        <v>0</v>
      </c>
    </row>
    <row r="72" spans="26:30" x14ac:dyDescent="0.25">
      <c r="Z72" s="54">
        <f t="shared" ref="Z72:Z106" si="12">Z71+2</f>
        <v>132</v>
      </c>
      <c r="AA72" s="55">
        <f t="shared" si="8"/>
        <v>6.3300806275499184</v>
      </c>
      <c r="AB72" s="56">
        <f t="shared" si="9"/>
        <v>0</v>
      </c>
      <c r="AC72" s="50">
        <f t="shared" si="10"/>
        <v>0</v>
      </c>
      <c r="AD72" s="57">
        <f t="shared" si="11"/>
        <v>0</v>
      </c>
    </row>
    <row r="73" spans="26:30" x14ac:dyDescent="0.25">
      <c r="Z73" s="54">
        <f t="shared" si="12"/>
        <v>134</v>
      </c>
      <c r="AA73" s="55">
        <f t="shared" si="8"/>
        <v>6.3300806275499184</v>
      </c>
      <c r="AB73" s="56">
        <f t="shared" si="9"/>
        <v>0</v>
      </c>
      <c r="AC73" s="50">
        <f t="shared" si="10"/>
        <v>0</v>
      </c>
      <c r="AD73" s="57">
        <f t="shared" si="11"/>
        <v>0</v>
      </c>
    </row>
    <row r="74" spans="26:30" x14ac:dyDescent="0.25">
      <c r="Z74" s="54">
        <f t="shared" si="12"/>
        <v>136</v>
      </c>
      <c r="AA74" s="55">
        <f t="shared" si="8"/>
        <v>6.3300806275499184</v>
      </c>
      <c r="AB74" s="56">
        <f t="shared" si="9"/>
        <v>0</v>
      </c>
      <c r="AC74" s="50">
        <f t="shared" si="10"/>
        <v>0</v>
      </c>
      <c r="AD74" s="57">
        <f t="shared" si="11"/>
        <v>0</v>
      </c>
    </row>
    <row r="75" spans="26:30" x14ac:dyDescent="0.25">
      <c r="Z75" s="54">
        <f t="shared" si="12"/>
        <v>138</v>
      </c>
      <c r="AA75" s="55">
        <f t="shared" si="8"/>
        <v>6.3300806275499184</v>
      </c>
      <c r="AB75" s="56">
        <f t="shared" si="9"/>
        <v>0</v>
      </c>
      <c r="AC75" s="50">
        <f t="shared" si="10"/>
        <v>0</v>
      </c>
      <c r="AD75" s="57">
        <f t="shared" si="11"/>
        <v>0</v>
      </c>
    </row>
    <row r="76" spans="26:30" x14ac:dyDescent="0.25">
      <c r="Z76" s="54">
        <f t="shared" si="12"/>
        <v>140</v>
      </c>
      <c r="AA76" s="55">
        <f t="shared" si="8"/>
        <v>6.3300806275499184</v>
      </c>
      <c r="AB76" s="56">
        <f t="shared" si="9"/>
        <v>0</v>
      </c>
      <c r="AC76" s="50">
        <f t="shared" si="10"/>
        <v>0</v>
      </c>
      <c r="AD76" s="57">
        <f t="shared" si="11"/>
        <v>0</v>
      </c>
    </row>
    <row r="77" spans="26:30" x14ac:dyDescent="0.25">
      <c r="Z77" s="54">
        <f t="shared" si="12"/>
        <v>142</v>
      </c>
      <c r="AA77" s="55">
        <f t="shared" si="8"/>
        <v>6.3300806275499184</v>
      </c>
      <c r="AB77" s="56">
        <f t="shared" si="9"/>
        <v>0</v>
      </c>
      <c r="AC77" s="50">
        <f t="shared" si="10"/>
        <v>0</v>
      </c>
      <c r="AD77" s="57">
        <f t="shared" si="11"/>
        <v>0</v>
      </c>
    </row>
    <row r="78" spans="26:30" x14ac:dyDescent="0.25">
      <c r="Z78" s="54">
        <f t="shared" si="12"/>
        <v>144</v>
      </c>
      <c r="AA78" s="55">
        <f t="shared" si="8"/>
        <v>6.3300806275499184</v>
      </c>
      <c r="AB78" s="56">
        <f t="shared" si="9"/>
        <v>0</v>
      </c>
      <c r="AC78" s="50">
        <f t="shared" si="10"/>
        <v>0</v>
      </c>
      <c r="AD78" s="57">
        <f t="shared" si="11"/>
        <v>0</v>
      </c>
    </row>
    <row r="79" spans="26:30" x14ac:dyDescent="0.25">
      <c r="Z79" s="54">
        <f t="shared" si="12"/>
        <v>146</v>
      </c>
      <c r="AA79" s="55">
        <f t="shared" si="8"/>
        <v>6.3300806275499184</v>
      </c>
      <c r="AB79" s="56">
        <f t="shared" si="9"/>
        <v>0</v>
      </c>
      <c r="AC79" s="50">
        <f t="shared" si="10"/>
        <v>0</v>
      </c>
      <c r="AD79" s="57">
        <f t="shared" si="11"/>
        <v>0</v>
      </c>
    </row>
    <row r="80" spans="26:30" x14ac:dyDescent="0.25">
      <c r="Z80" s="54">
        <f t="shared" si="12"/>
        <v>148</v>
      </c>
      <c r="AA80" s="55">
        <f t="shared" si="8"/>
        <v>6.3300806275499184</v>
      </c>
      <c r="AB80" s="56">
        <f t="shared" si="9"/>
        <v>0</v>
      </c>
      <c r="AC80" s="50">
        <f t="shared" si="10"/>
        <v>0</v>
      </c>
      <c r="AD80" s="57">
        <f t="shared" si="11"/>
        <v>0</v>
      </c>
    </row>
    <row r="81" spans="26:30" x14ac:dyDescent="0.25">
      <c r="Z81" s="54">
        <f t="shared" si="12"/>
        <v>150</v>
      </c>
      <c r="AA81" s="55">
        <f t="shared" si="8"/>
        <v>6.3300806275499184</v>
      </c>
      <c r="AB81" s="56">
        <f t="shared" si="9"/>
        <v>0</v>
      </c>
      <c r="AC81" s="50">
        <f t="shared" si="10"/>
        <v>0</v>
      </c>
      <c r="AD81" s="57">
        <f t="shared" si="11"/>
        <v>0</v>
      </c>
    </row>
    <row r="82" spans="26:30" x14ac:dyDescent="0.25">
      <c r="Z82" s="54">
        <f t="shared" si="12"/>
        <v>152</v>
      </c>
      <c r="AA82" s="55">
        <f t="shared" si="8"/>
        <v>6.3300806275499184</v>
      </c>
      <c r="AB82" s="56">
        <f t="shared" si="9"/>
        <v>0</v>
      </c>
      <c r="AC82" s="50">
        <f t="shared" si="10"/>
        <v>0</v>
      </c>
      <c r="AD82" s="57">
        <f t="shared" si="11"/>
        <v>0</v>
      </c>
    </row>
    <row r="83" spans="26:30" x14ac:dyDescent="0.25">
      <c r="Z83" s="54">
        <f t="shared" si="12"/>
        <v>154</v>
      </c>
      <c r="AA83" s="55">
        <f t="shared" si="8"/>
        <v>6.3300806275499184</v>
      </c>
      <c r="AB83" s="56">
        <f t="shared" si="9"/>
        <v>0</v>
      </c>
      <c r="AC83" s="50">
        <f t="shared" si="10"/>
        <v>0</v>
      </c>
      <c r="AD83" s="57">
        <f t="shared" si="11"/>
        <v>0</v>
      </c>
    </row>
    <row r="84" spans="26:30" x14ac:dyDescent="0.25">
      <c r="Z84" s="54">
        <f t="shared" si="12"/>
        <v>156</v>
      </c>
      <c r="AA84" s="55">
        <f t="shared" si="8"/>
        <v>6.3300806275499184</v>
      </c>
      <c r="AB84" s="56">
        <f t="shared" si="9"/>
        <v>0</v>
      </c>
      <c r="AC84" s="50">
        <f t="shared" si="10"/>
        <v>0</v>
      </c>
      <c r="AD84" s="57">
        <f t="shared" si="11"/>
        <v>0</v>
      </c>
    </row>
    <row r="85" spans="26:30" x14ac:dyDescent="0.25">
      <c r="Z85" s="54">
        <f t="shared" si="12"/>
        <v>158</v>
      </c>
      <c r="AA85" s="55">
        <f t="shared" si="8"/>
        <v>6.3300806275499184</v>
      </c>
      <c r="AB85" s="56">
        <f t="shared" si="9"/>
        <v>0</v>
      </c>
      <c r="AC85" s="50">
        <f t="shared" si="10"/>
        <v>0</v>
      </c>
      <c r="AD85" s="57">
        <f t="shared" si="11"/>
        <v>0</v>
      </c>
    </row>
    <row r="86" spans="26:30" x14ac:dyDescent="0.25">
      <c r="Z86" s="54">
        <f t="shared" si="12"/>
        <v>160</v>
      </c>
      <c r="AA86" s="55">
        <f t="shared" si="8"/>
        <v>6.3300806275499184</v>
      </c>
      <c r="AB86" s="56">
        <f t="shared" si="9"/>
        <v>0</v>
      </c>
      <c r="AC86" s="50">
        <f t="shared" si="10"/>
        <v>0</v>
      </c>
      <c r="AD86" s="57">
        <f t="shared" si="11"/>
        <v>0</v>
      </c>
    </row>
    <row r="87" spans="26:30" x14ac:dyDescent="0.25">
      <c r="Z87" s="54">
        <f t="shared" si="12"/>
        <v>162</v>
      </c>
      <c r="AA87" s="55">
        <f t="shared" si="8"/>
        <v>6.3300806275499184</v>
      </c>
      <c r="AB87" s="56">
        <f t="shared" si="9"/>
        <v>0</v>
      </c>
      <c r="AC87" s="50">
        <f t="shared" si="10"/>
        <v>0</v>
      </c>
      <c r="AD87" s="57">
        <f t="shared" si="11"/>
        <v>0</v>
      </c>
    </row>
    <row r="88" spans="26:30" x14ac:dyDescent="0.25">
      <c r="Z88" s="54">
        <f t="shared" si="12"/>
        <v>164</v>
      </c>
      <c r="AA88" s="55">
        <f t="shared" si="8"/>
        <v>6.3300806275499184</v>
      </c>
      <c r="AB88" s="56">
        <f t="shared" si="9"/>
        <v>0</v>
      </c>
      <c r="AC88" s="50">
        <f t="shared" si="10"/>
        <v>0</v>
      </c>
      <c r="AD88" s="57">
        <f t="shared" si="11"/>
        <v>0</v>
      </c>
    </row>
    <row r="89" spans="26:30" x14ac:dyDescent="0.25">
      <c r="Z89" s="54">
        <f t="shared" si="12"/>
        <v>166</v>
      </c>
      <c r="AA89" s="55">
        <f t="shared" si="8"/>
        <v>6.3300806275499184</v>
      </c>
      <c r="AB89" s="56">
        <f t="shared" si="9"/>
        <v>0</v>
      </c>
      <c r="AC89" s="50">
        <f t="shared" si="10"/>
        <v>0</v>
      </c>
      <c r="AD89" s="57">
        <f t="shared" si="11"/>
        <v>0</v>
      </c>
    </row>
    <row r="90" spans="26:30" x14ac:dyDescent="0.25">
      <c r="Z90" s="54">
        <f t="shared" si="12"/>
        <v>168</v>
      </c>
      <c r="AA90" s="55">
        <f t="shared" si="8"/>
        <v>6.3300806275499184</v>
      </c>
      <c r="AB90" s="56">
        <f t="shared" si="9"/>
        <v>0</v>
      </c>
      <c r="AC90" s="50">
        <f t="shared" si="10"/>
        <v>0</v>
      </c>
      <c r="AD90" s="57">
        <f t="shared" si="11"/>
        <v>0</v>
      </c>
    </row>
    <row r="91" spans="26:30" x14ac:dyDescent="0.25">
      <c r="Z91" s="54">
        <f t="shared" si="12"/>
        <v>170</v>
      </c>
      <c r="AA91" s="55">
        <f t="shared" si="8"/>
        <v>6.3300806275499184</v>
      </c>
      <c r="AB91" s="56">
        <f t="shared" si="9"/>
        <v>0</v>
      </c>
      <c r="AC91" s="50">
        <f t="shared" si="10"/>
        <v>0</v>
      </c>
      <c r="AD91" s="57">
        <f t="shared" si="11"/>
        <v>0</v>
      </c>
    </row>
    <row r="92" spans="26:30" x14ac:dyDescent="0.25">
      <c r="Z92" s="54">
        <f t="shared" si="12"/>
        <v>172</v>
      </c>
      <c r="AA92" s="55">
        <f t="shared" si="8"/>
        <v>6.3300806275499184</v>
      </c>
      <c r="AB92" s="56">
        <f t="shared" si="9"/>
        <v>0</v>
      </c>
      <c r="AC92" s="50">
        <f t="shared" si="10"/>
        <v>0</v>
      </c>
      <c r="AD92" s="57">
        <f t="shared" si="11"/>
        <v>0</v>
      </c>
    </row>
    <row r="93" spans="26:30" x14ac:dyDescent="0.25">
      <c r="Z93" s="54">
        <f t="shared" si="12"/>
        <v>174</v>
      </c>
      <c r="AA93" s="55">
        <f t="shared" si="8"/>
        <v>6.3300806275499184</v>
      </c>
      <c r="AB93" s="56">
        <f t="shared" si="9"/>
        <v>0</v>
      </c>
      <c r="AC93" s="50">
        <f t="shared" si="10"/>
        <v>0</v>
      </c>
      <c r="AD93" s="57">
        <f t="shared" si="11"/>
        <v>0</v>
      </c>
    </row>
    <row r="94" spans="26:30" x14ac:dyDescent="0.25">
      <c r="Z94" s="54">
        <f t="shared" si="12"/>
        <v>176</v>
      </c>
      <c r="AA94" s="55">
        <f t="shared" si="8"/>
        <v>6.3300806275499184</v>
      </c>
      <c r="AB94" s="56">
        <f t="shared" si="9"/>
        <v>0</v>
      </c>
      <c r="AC94" s="50">
        <f t="shared" si="10"/>
        <v>0</v>
      </c>
      <c r="AD94" s="57">
        <f t="shared" si="11"/>
        <v>0</v>
      </c>
    </row>
    <row r="95" spans="26:30" x14ac:dyDescent="0.25">
      <c r="Z95" s="54">
        <f t="shared" si="12"/>
        <v>178</v>
      </c>
      <c r="AA95" s="55">
        <f t="shared" si="8"/>
        <v>6.3300806275499184</v>
      </c>
      <c r="AB95" s="56">
        <f t="shared" si="9"/>
        <v>0</v>
      </c>
      <c r="AC95" s="50">
        <f t="shared" si="10"/>
        <v>0</v>
      </c>
      <c r="AD95" s="57">
        <f t="shared" si="11"/>
        <v>0</v>
      </c>
    </row>
    <row r="96" spans="26:30" x14ac:dyDescent="0.25">
      <c r="Z96" s="54">
        <f t="shared" si="12"/>
        <v>180</v>
      </c>
      <c r="AA96" s="55">
        <f t="shared" si="8"/>
        <v>6.3300806275499184</v>
      </c>
      <c r="AB96" s="56">
        <f t="shared" si="9"/>
        <v>0</v>
      </c>
      <c r="AC96" s="50">
        <f t="shared" si="10"/>
        <v>0</v>
      </c>
      <c r="AD96" s="57">
        <f t="shared" si="11"/>
        <v>0</v>
      </c>
    </row>
    <row r="97" spans="26:30" x14ac:dyDescent="0.25">
      <c r="Z97" s="54">
        <f t="shared" si="12"/>
        <v>182</v>
      </c>
      <c r="AA97" s="55">
        <f t="shared" si="8"/>
        <v>6.3300806275499184</v>
      </c>
      <c r="AB97" s="56">
        <f t="shared" si="9"/>
        <v>0</v>
      </c>
      <c r="AC97" s="50">
        <f t="shared" si="10"/>
        <v>0</v>
      </c>
      <c r="AD97" s="57">
        <f t="shared" si="11"/>
        <v>0</v>
      </c>
    </row>
    <row r="98" spans="26:30" x14ac:dyDescent="0.25">
      <c r="Z98" s="54">
        <f t="shared" si="12"/>
        <v>184</v>
      </c>
      <c r="AA98" s="55">
        <f t="shared" si="8"/>
        <v>6.3300806275499184</v>
      </c>
      <c r="AB98" s="56">
        <f t="shared" si="9"/>
        <v>0</v>
      </c>
      <c r="AC98" s="50">
        <f t="shared" si="10"/>
        <v>0</v>
      </c>
      <c r="AD98" s="57">
        <f t="shared" si="11"/>
        <v>0</v>
      </c>
    </row>
    <row r="99" spans="26:30" x14ac:dyDescent="0.25">
      <c r="Z99" s="54">
        <f t="shared" si="12"/>
        <v>186</v>
      </c>
      <c r="AA99" s="55">
        <f t="shared" si="8"/>
        <v>6.3300806275499184</v>
      </c>
      <c r="AB99" s="56">
        <f t="shared" si="9"/>
        <v>0</v>
      </c>
      <c r="AC99" s="50">
        <f t="shared" si="10"/>
        <v>0</v>
      </c>
      <c r="AD99" s="57">
        <f t="shared" si="11"/>
        <v>0</v>
      </c>
    </row>
    <row r="100" spans="26:30" x14ac:dyDescent="0.25">
      <c r="Z100" s="54">
        <f t="shared" si="12"/>
        <v>188</v>
      </c>
      <c r="AA100" s="55">
        <f t="shared" si="8"/>
        <v>6.3300806275499184</v>
      </c>
      <c r="AB100" s="56">
        <f t="shared" si="9"/>
        <v>0</v>
      </c>
      <c r="AC100" s="50">
        <f t="shared" si="10"/>
        <v>0</v>
      </c>
      <c r="AD100" s="57">
        <f t="shared" si="11"/>
        <v>0</v>
      </c>
    </row>
    <row r="101" spans="26:30" x14ac:dyDescent="0.25">
      <c r="Z101" s="54">
        <f t="shared" si="12"/>
        <v>190</v>
      </c>
      <c r="AA101" s="55">
        <f t="shared" si="8"/>
        <v>6.3300806275499184</v>
      </c>
      <c r="AB101" s="56">
        <f t="shared" si="9"/>
        <v>0</v>
      </c>
      <c r="AC101" s="50">
        <f t="shared" si="10"/>
        <v>0</v>
      </c>
      <c r="AD101" s="57">
        <f t="shared" si="11"/>
        <v>0</v>
      </c>
    </row>
    <row r="102" spans="26:30" x14ac:dyDescent="0.25">
      <c r="Z102" s="54">
        <f t="shared" si="12"/>
        <v>192</v>
      </c>
      <c r="AA102" s="55">
        <f t="shared" si="8"/>
        <v>6.3300806275499184</v>
      </c>
      <c r="AB102" s="56">
        <f t="shared" si="9"/>
        <v>0</v>
      </c>
      <c r="AC102" s="50">
        <f t="shared" si="10"/>
        <v>0</v>
      </c>
      <c r="AD102" s="57">
        <f t="shared" si="11"/>
        <v>0</v>
      </c>
    </row>
    <row r="103" spans="26:30" x14ac:dyDescent="0.25">
      <c r="Z103" s="54">
        <f t="shared" si="12"/>
        <v>194</v>
      </c>
      <c r="AA103" s="55">
        <f t="shared" si="8"/>
        <v>6.3300806275499184</v>
      </c>
      <c r="AB103" s="56">
        <f t="shared" si="9"/>
        <v>0</v>
      </c>
      <c r="AC103" s="50">
        <f t="shared" si="10"/>
        <v>0</v>
      </c>
      <c r="AD103" s="57">
        <f t="shared" si="11"/>
        <v>0</v>
      </c>
    </row>
    <row r="104" spans="26:30" x14ac:dyDescent="0.25">
      <c r="Z104" s="54">
        <f t="shared" si="12"/>
        <v>196</v>
      </c>
      <c r="AA104" s="55">
        <f t="shared" si="8"/>
        <v>6.3300806275499184</v>
      </c>
      <c r="AB104" s="56">
        <f t="shared" si="9"/>
        <v>0</v>
      </c>
      <c r="AC104" s="50">
        <f t="shared" si="10"/>
        <v>0</v>
      </c>
      <c r="AD104" s="57">
        <f t="shared" si="11"/>
        <v>0</v>
      </c>
    </row>
    <row r="105" spans="26:30" x14ac:dyDescent="0.25">
      <c r="Z105" s="54">
        <f t="shared" si="12"/>
        <v>198</v>
      </c>
      <c r="AA105" s="55">
        <f t="shared" si="8"/>
        <v>6.3300806275499184</v>
      </c>
      <c r="AB105" s="56">
        <f t="shared" si="9"/>
        <v>0</v>
      </c>
      <c r="AC105" s="50">
        <f t="shared" si="10"/>
        <v>0</v>
      </c>
      <c r="AD105" s="57">
        <f t="shared" si="11"/>
        <v>0</v>
      </c>
    </row>
    <row r="106" spans="26:30" x14ac:dyDescent="0.25">
      <c r="Z106" s="64">
        <f t="shared" si="12"/>
        <v>200</v>
      </c>
      <c r="AA106" s="65">
        <f t="shared" si="8"/>
        <v>6.3300806275499184</v>
      </c>
      <c r="AB106" s="58">
        <f t="shared" si="9"/>
        <v>0</v>
      </c>
      <c r="AC106" s="67">
        <f t="shared" si="10"/>
        <v>0</v>
      </c>
      <c r="AD106" s="66">
        <f t="shared" si="11"/>
        <v>0</v>
      </c>
    </row>
    <row r="107" spans="26:30" x14ac:dyDescent="0.25">
      <c r="Z107" s="54"/>
    </row>
    <row r="108" spans="26:30" x14ac:dyDescent="0.25">
      <c r="Z108" s="54"/>
    </row>
    <row r="109" spans="26:30" x14ac:dyDescent="0.25">
      <c r="Z109" s="54"/>
    </row>
    <row r="110" spans="26:30" x14ac:dyDescent="0.25">
      <c r="Z110" s="54"/>
    </row>
    <row r="111" spans="26:30" x14ac:dyDescent="0.25">
      <c r="Z111" s="54"/>
    </row>
    <row r="112" spans="26:30" x14ac:dyDescent="0.25">
      <c r="Z112" s="54"/>
    </row>
    <row r="113" spans="26:26" x14ac:dyDescent="0.25">
      <c r="Z113" s="54"/>
    </row>
    <row r="114" spans="26:26" x14ac:dyDescent="0.25">
      <c r="Z114" s="54"/>
    </row>
    <row r="115" spans="26:26" x14ac:dyDescent="0.25">
      <c r="Z115" s="54"/>
    </row>
    <row r="116" spans="26:26" x14ac:dyDescent="0.25">
      <c r="Z116" s="54"/>
    </row>
    <row r="117" spans="26:26" x14ac:dyDescent="0.25">
      <c r="Z117" s="54"/>
    </row>
    <row r="118" spans="26:26" x14ac:dyDescent="0.25">
      <c r="Z118" s="54"/>
    </row>
    <row r="119" spans="26:26" x14ac:dyDescent="0.25">
      <c r="Z119" s="54"/>
    </row>
    <row r="120" spans="26:26" x14ac:dyDescent="0.25">
      <c r="Z120" s="54"/>
    </row>
    <row r="121" spans="26:26" x14ac:dyDescent="0.25">
      <c r="Z121" s="54"/>
    </row>
    <row r="122" spans="26:26" x14ac:dyDescent="0.25">
      <c r="Z122" s="54"/>
    </row>
    <row r="123" spans="26:26" x14ac:dyDescent="0.25">
      <c r="Z123" s="54"/>
    </row>
    <row r="124" spans="26:26" x14ac:dyDescent="0.25">
      <c r="Z124" s="54"/>
    </row>
    <row r="125" spans="26:26" x14ac:dyDescent="0.25">
      <c r="Z125" s="54"/>
    </row>
    <row r="126" spans="26:26" x14ac:dyDescent="0.25">
      <c r="Z126" s="54"/>
    </row>
    <row r="127" spans="26:26" x14ac:dyDescent="0.25">
      <c r="Z127" s="54"/>
    </row>
    <row r="128" spans="26:26" x14ac:dyDescent="0.25">
      <c r="Z128" s="54"/>
    </row>
    <row r="129" spans="26:26" x14ac:dyDescent="0.25">
      <c r="Z129" s="54"/>
    </row>
    <row r="130" spans="26:26" x14ac:dyDescent="0.25">
      <c r="Z130" s="54"/>
    </row>
    <row r="131" spans="26:26" x14ac:dyDescent="0.25">
      <c r="Z131" s="54"/>
    </row>
    <row r="132" spans="26:26" x14ac:dyDescent="0.25">
      <c r="Z132" s="54"/>
    </row>
    <row r="133" spans="26:26" x14ac:dyDescent="0.25">
      <c r="Z133" s="54"/>
    </row>
    <row r="134" spans="26:26" x14ac:dyDescent="0.25">
      <c r="Z134" s="54"/>
    </row>
  </sheetData>
  <mergeCells count="14">
    <mergeCell ref="D1:F1"/>
    <mergeCell ref="Z3:Z4"/>
    <mergeCell ref="AA3:AA4"/>
    <mergeCell ref="AB3:AB4"/>
    <mergeCell ref="AC3:AC4"/>
    <mergeCell ref="AG4:AG12"/>
    <mergeCell ref="AI4:AK4"/>
    <mergeCell ref="AA5:AC5"/>
    <mergeCell ref="AI8:AK8"/>
    <mergeCell ref="AI9:AK9"/>
    <mergeCell ref="AI10:AK10"/>
    <mergeCell ref="AI11:AK11"/>
    <mergeCell ref="AI12:AK12"/>
    <mergeCell ref="AD3:AD5"/>
  </mergeCells>
  <pageMargins left="0.75" right="0.75" top="1" bottom="1" header="0.5" footer="0.5"/>
  <pageSetup orientation="portrait" r:id="rId1"/>
  <headerFooter alignWithMargins="0"/>
  <drawing r:id="rId2"/>
  <legacyDrawing r:id="rId3"/>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6E71-D41C-40CA-9A3B-8402F163C52E}">
  <dimension ref="A1:L21"/>
  <sheetViews>
    <sheetView zoomScaleNormal="100" workbookViewId="0">
      <selection activeCell="B10" sqref="B10"/>
    </sheetView>
  </sheetViews>
  <sheetFormatPr baseColWidth="10" defaultColWidth="9.21875" defaultRowHeight="13.2" x14ac:dyDescent="0.25"/>
  <cols>
    <col min="1" max="1" width="16.33203125" style="68" bestFit="1" customWidth="1"/>
    <col min="2" max="2" width="14.21875" style="68" customWidth="1"/>
    <col min="3" max="3" width="12.21875" style="68" bestFit="1" customWidth="1"/>
    <col min="4" max="4" width="12.5546875" style="68" bestFit="1" customWidth="1"/>
    <col min="5" max="5" width="12.33203125" style="68" bestFit="1" customWidth="1"/>
    <col min="6" max="8" width="9.21875" style="68"/>
    <col min="9" max="9" width="10.44140625" style="68" bestFit="1" customWidth="1"/>
    <col min="10" max="16384" width="9.21875" style="68"/>
  </cols>
  <sheetData>
    <row r="1" spans="1:12" x14ac:dyDescent="0.25">
      <c r="A1" s="69" t="s">
        <v>218</v>
      </c>
      <c r="B1" s="649">
        <v>100</v>
      </c>
    </row>
    <row r="2" spans="1:12" x14ac:dyDescent="0.25">
      <c r="A2" s="69" t="s">
        <v>702</v>
      </c>
      <c r="B2" s="649">
        <v>120</v>
      </c>
      <c r="I2" s="42"/>
      <c r="J2" s="42"/>
      <c r="K2" s="42"/>
      <c r="L2" s="42"/>
    </row>
    <row r="3" spans="1:12" x14ac:dyDescent="0.25">
      <c r="A3" s="69" t="s">
        <v>703</v>
      </c>
      <c r="B3" s="650">
        <v>0.3</v>
      </c>
      <c r="I3" s="42"/>
      <c r="J3" s="42"/>
      <c r="K3" s="42"/>
      <c r="L3" s="42"/>
    </row>
    <row r="4" spans="1:12" x14ac:dyDescent="0.25">
      <c r="A4" s="69" t="s">
        <v>219</v>
      </c>
      <c r="B4" s="651">
        <v>0.1</v>
      </c>
      <c r="I4" s="42"/>
      <c r="J4" s="42"/>
      <c r="K4" s="42"/>
      <c r="L4" s="42"/>
    </row>
    <row r="5" spans="1:12" x14ac:dyDescent="0.25">
      <c r="A5" s="69" t="s">
        <v>704</v>
      </c>
      <c r="B5" s="77">
        <v>0.5</v>
      </c>
      <c r="D5" s="42"/>
      <c r="E5" s="42"/>
      <c r="F5" s="42"/>
      <c r="G5" s="42"/>
      <c r="I5" s="42"/>
      <c r="J5" s="42"/>
      <c r="K5" s="42"/>
      <c r="L5" s="42"/>
    </row>
    <row r="6" spans="1:12" x14ac:dyDescent="0.25">
      <c r="D6" s="42"/>
      <c r="E6" s="42"/>
      <c r="F6" s="42"/>
      <c r="G6" s="42"/>
      <c r="I6" s="42"/>
      <c r="J6" s="42"/>
      <c r="K6" s="42"/>
      <c r="L6" s="42"/>
    </row>
    <row r="7" spans="1:12" x14ac:dyDescent="0.25">
      <c r="A7" s="69" t="s">
        <v>108</v>
      </c>
      <c r="B7" s="77">
        <f>(LN(B1/B2)+((B4+(0.5*B3*B3))*B5))/(B3*SQRT(B5))</f>
        <v>-0.51770378352979229</v>
      </c>
      <c r="D7" s="42"/>
      <c r="E7" s="42"/>
      <c r="F7" s="42"/>
      <c r="G7" s="42"/>
    </row>
    <row r="8" spans="1:12" x14ac:dyDescent="0.25">
      <c r="A8" s="69" t="s">
        <v>109</v>
      </c>
      <c r="B8" s="77">
        <f>B7-(B3*SQRT(B5))</f>
        <v>-0.72983581788575658</v>
      </c>
      <c r="D8" s="42"/>
      <c r="E8" s="42"/>
      <c r="F8" s="42"/>
      <c r="G8" s="42"/>
    </row>
    <row r="9" spans="1:12" x14ac:dyDescent="0.25">
      <c r="A9" s="137"/>
      <c r="D9" s="42"/>
      <c r="E9" s="42"/>
      <c r="F9" s="42"/>
      <c r="G9" s="42"/>
    </row>
    <row r="10" spans="1:12" x14ac:dyDescent="0.25">
      <c r="A10" s="69" t="s">
        <v>705</v>
      </c>
      <c r="B10" s="652">
        <f>(B1*NORMSDIST(B7))-(B2*EXP(-B4*B5)*NORMSDIST(B8))</f>
        <v>3.6659495528410559</v>
      </c>
    </row>
    <row r="11" spans="1:12" x14ac:dyDescent="0.25">
      <c r="A11" s="69" t="s">
        <v>220</v>
      </c>
      <c r="B11" s="652">
        <f>-(B1*NORMSDIST(-B7))+(B2*EXP(-B4*B5)*NORMSDIST(-B8))</f>
        <v>17.813480492926743</v>
      </c>
    </row>
    <row r="14" spans="1:12" x14ac:dyDescent="0.25">
      <c r="A14" s="42"/>
      <c r="B14" s="50"/>
      <c r="C14" s="50"/>
      <c r="D14" s="50"/>
      <c r="E14" s="42"/>
      <c r="F14" s="42"/>
      <c r="G14" s="42"/>
    </row>
    <row r="15" spans="1:12" x14ac:dyDescent="0.25">
      <c r="A15" s="42"/>
      <c r="B15" s="50"/>
      <c r="C15" s="50"/>
      <c r="D15" s="50"/>
      <c r="E15" s="42"/>
      <c r="F15" s="42"/>
      <c r="G15" s="42"/>
    </row>
    <row r="16" spans="1:12" x14ac:dyDescent="0.25">
      <c r="A16" s="42"/>
      <c r="B16" s="42"/>
      <c r="C16" s="42"/>
      <c r="D16" s="42"/>
      <c r="E16" s="42"/>
      <c r="F16" s="42"/>
      <c r="G16" s="42"/>
    </row>
    <row r="17" spans="1:7" x14ac:dyDescent="0.25">
      <c r="A17" s="42"/>
      <c r="B17" s="653"/>
      <c r="C17" s="42"/>
      <c r="D17" s="42"/>
      <c r="E17" s="42"/>
      <c r="F17" s="42"/>
      <c r="G17" s="42"/>
    </row>
    <row r="18" spans="1:7" x14ac:dyDescent="0.25">
      <c r="A18" s="42"/>
      <c r="B18" s="653"/>
      <c r="C18" s="42"/>
      <c r="D18" s="42"/>
      <c r="E18" s="42"/>
      <c r="F18" s="42"/>
      <c r="G18" s="42"/>
    </row>
    <row r="19" spans="1:7" x14ac:dyDescent="0.25">
      <c r="A19" s="42"/>
      <c r="B19" s="654"/>
      <c r="C19" s="42"/>
      <c r="D19" s="42"/>
      <c r="E19" s="42"/>
      <c r="F19" s="42"/>
      <c r="G19" s="42"/>
    </row>
    <row r="20" spans="1:7" x14ac:dyDescent="0.25">
      <c r="A20" s="42"/>
      <c r="B20" s="42"/>
      <c r="C20" s="42"/>
      <c r="D20" s="42"/>
      <c r="E20" s="42"/>
      <c r="F20" s="42"/>
      <c r="G20" s="42"/>
    </row>
    <row r="21" spans="1:7" x14ac:dyDescent="0.25">
      <c r="A21" s="42"/>
      <c r="B21" s="42"/>
      <c r="C21" s="42"/>
      <c r="D21" s="42"/>
      <c r="E21" s="42"/>
      <c r="F21" s="42"/>
      <c r="G21" s="42"/>
    </row>
  </sheetData>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shapeId="492545" r:id="rId4">
          <objectPr defaultSize="0" r:id="rId5">
            <anchor moveWithCells="1">
              <from>
                <xdr:col>7</xdr:col>
                <xdr:colOff>571500</xdr:colOff>
                <xdr:row>1</xdr:row>
                <xdr:rowOff>83820</xdr:rowOff>
              </from>
              <to>
                <xdr:col>13</xdr:col>
                <xdr:colOff>15240</xdr:colOff>
                <xdr:row>5</xdr:row>
                <xdr:rowOff>38100</xdr:rowOff>
              </to>
            </anchor>
          </objectPr>
        </oleObject>
      </mc:Choice>
      <mc:Fallback>
        <oleObject shapeId="492545" r:id="rId4"/>
      </mc:Fallback>
    </mc:AlternateContent>
    <mc:AlternateContent xmlns:mc="http://schemas.openxmlformats.org/markup-compatibility/2006">
      <mc:Choice Requires="x14">
        <oleObject shapeId="492546" r:id="rId6">
          <objectPr defaultSize="0" r:id="rId7">
            <anchor moveWithCells="1">
              <from>
                <xdr:col>8</xdr:col>
                <xdr:colOff>0</xdr:colOff>
                <xdr:row>7</xdr:row>
                <xdr:rowOff>0</xdr:rowOff>
              </from>
              <to>
                <xdr:col>14</xdr:col>
                <xdr:colOff>518160</xdr:colOff>
                <xdr:row>13</xdr:row>
                <xdr:rowOff>137160</xdr:rowOff>
              </to>
            </anchor>
          </objectPr>
        </oleObject>
      </mc:Choice>
      <mc:Fallback>
        <oleObject shapeId="492546" r:id="rId6"/>
      </mc:Fallback>
    </mc:AlternateContent>
    <mc:AlternateContent xmlns:mc="http://schemas.openxmlformats.org/markup-compatibility/2006">
      <mc:Choice Requires="x14">
        <oleObject shapeId="492547" r:id="rId8">
          <objectPr defaultSize="0" r:id="rId9">
            <anchor moveWithCells="1">
              <from>
                <xdr:col>8</xdr:col>
                <xdr:colOff>0</xdr:colOff>
                <xdr:row>15</xdr:row>
                <xdr:rowOff>0</xdr:rowOff>
              </from>
              <to>
                <xdr:col>11</xdr:col>
                <xdr:colOff>228600</xdr:colOff>
                <xdr:row>18</xdr:row>
                <xdr:rowOff>114300</xdr:rowOff>
              </to>
            </anchor>
          </objectPr>
        </oleObject>
      </mc:Choice>
      <mc:Fallback>
        <oleObject shapeId="492547" r:id="rId8"/>
      </mc:Fallback>
    </mc:AlternateContent>
  </oleObjec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7D13-8683-4D87-962B-589D170B2135}">
  <dimension ref="A1:J21"/>
  <sheetViews>
    <sheetView zoomScaleNormal="100" workbookViewId="0">
      <selection activeCell="R13" sqref="R13"/>
    </sheetView>
  </sheetViews>
  <sheetFormatPr baseColWidth="10" defaultColWidth="9.21875" defaultRowHeight="13.2" x14ac:dyDescent="0.25"/>
  <cols>
    <col min="1" max="1" width="12.21875" style="68" bestFit="1" customWidth="1"/>
    <col min="2" max="2" width="12.5546875" style="68" bestFit="1" customWidth="1"/>
    <col min="3" max="3" width="12.33203125" style="68" bestFit="1" customWidth="1"/>
    <col min="4" max="6" width="9.21875" style="68"/>
    <col min="7" max="7" width="10.44140625" style="68" bestFit="1" customWidth="1"/>
    <col min="8" max="16384" width="9.21875" style="68"/>
  </cols>
  <sheetData>
    <row r="1" spans="1:10" x14ac:dyDescent="0.25">
      <c r="A1" s="68" t="s">
        <v>719</v>
      </c>
    </row>
    <row r="2" spans="1:10" x14ac:dyDescent="0.25">
      <c r="G2" s="42"/>
      <c r="H2" s="42"/>
      <c r="I2" s="42"/>
      <c r="J2" s="42"/>
    </row>
    <row r="3" spans="1:10" x14ac:dyDescent="0.25">
      <c r="G3" s="42"/>
      <c r="H3" s="42"/>
      <c r="I3" s="42"/>
      <c r="J3" s="42"/>
    </row>
    <row r="4" spans="1:10" x14ac:dyDescent="0.25">
      <c r="G4" s="42"/>
      <c r="H4" s="42"/>
      <c r="I4" s="42"/>
      <c r="J4" s="42"/>
    </row>
    <row r="5" spans="1:10" x14ac:dyDescent="0.25">
      <c r="B5" s="42"/>
      <c r="C5" s="42"/>
      <c r="D5" s="42"/>
      <c r="E5" s="42"/>
      <c r="G5" s="42"/>
      <c r="H5" s="42"/>
      <c r="I5" s="42"/>
      <c r="J5" s="42"/>
    </row>
    <row r="6" spans="1:10" x14ac:dyDescent="0.25">
      <c r="B6" s="42"/>
      <c r="C6" s="42"/>
      <c r="D6" s="42"/>
      <c r="E6" s="42"/>
      <c r="G6" s="42"/>
      <c r="H6" s="42"/>
      <c r="I6" s="42"/>
      <c r="J6" s="42"/>
    </row>
    <row r="7" spans="1:10" x14ac:dyDescent="0.25">
      <c r="B7" s="42"/>
      <c r="C7" s="42"/>
      <c r="D7" s="42"/>
      <c r="E7" s="42"/>
    </row>
    <row r="8" spans="1:10" x14ac:dyDescent="0.25">
      <c r="B8" s="42"/>
      <c r="C8" s="42"/>
      <c r="D8" s="42"/>
      <c r="E8" s="42"/>
    </row>
    <row r="9" spans="1:10" x14ac:dyDescent="0.25">
      <c r="B9" s="42"/>
      <c r="C9" s="42"/>
      <c r="D9" s="42"/>
      <c r="E9" s="42"/>
    </row>
    <row r="14" spans="1:10" x14ac:dyDescent="0.25">
      <c r="A14" s="50"/>
      <c r="B14" s="50"/>
      <c r="C14" s="42"/>
      <c r="D14" s="42"/>
      <c r="E14" s="42"/>
    </row>
    <row r="15" spans="1:10" x14ac:dyDescent="0.25">
      <c r="A15" s="50"/>
      <c r="B15" s="50"/>
      <c r="C15" s="42"/>
      <c r="D15" s="42"/>
      <c r="E15" s="42"/>
    </row>
    <row r="16" spans="1:10" x14ac:dyDescent="0.25">
      <c r="A16" s="42"/>
      <c r="B16" s="42"/>
      <c r="C16" s="42"/>
      <c r="D16" s="42"/>
      <c r="E16" s="42"/>
    </row>
    <row r="17" spans="1:5" x14ac:dyDescent="0.25">
      <c r="A17" s="42"/>
      <c r="B17" s="42"/>
      <c r="C17" s="42"/>
      <c r="D17" s="42"/>
      <c r="E17" s="42"/>
    </row>
    <row r="18" spans="1:5" x14ac:dyDescent="0.25">
      <c r="A18" s="42"/>
      <c r="B18" s="42"/>
      <c r="C18" s="42"/>
      <c r="D18" s="42"/>
      <c r="E18" s="42"/>
    </row>
    <row r="19" spans="1:5" x14ac:dyDescent="0.25">
      <c r="A19" s="42"/>
      <c r="B19" s="42"/>
      <c r="C19" s="42"/>
      <c r="D19" s="42"/>
      <c r="E19" s="42"/>
    </row>
    <row r="20" spans="1:5" x14ac:dyDescent="0.25">
      <c r="A20" s="42"/>
      <c r="B20" s="42"/>
      <c r="C20" s="42"/>
      <c r="D20" s="42"/>
      <c r="E20" s="42"/>
    </row>
    <row r="21" spans="1:5" x14ac:dyDescent="0.25">
      <c r="A21" s="42"/>
      <c r="B21" s="42"/>
      <c r="C21" s="42"/>
      <c r="D21" s="42"/>
      <c r="E21" s="42"/>
    </row>
  </sheetData>
  <pageMargins left="0.75" right="0.75" top="1" bottom="1" header="0.5" footer="0.5"/>
  <pageSetup orientation="portrait" r:id="rId1"/>
  <headerFooter alignWithMargins="0"/>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B16D-9C35-4900-A172-9493AD429433}">
  <dimension ref="A1:J19"/>
  <sheetViews>
    <sheetView zoomScaleNormal="100" workbookViewId="0">
      <selection activeCell="C8" sqref="C8"/>
    </sheetView>
  </sheetViews>
  <sheetFormatPr baseColWidth="10" defaultColWidth="9.21875" defaultRowHeight="13.2" x14ac:dyDescent="0.25"/>
  <cols>
    <col min="1" max="1" width="12.21875" style="68" bestFit="1" customWidth="1"/>
    <col min="2" max="2" width="12.5546875" style="68" bestFit="1" customWidth="1"/>
    <col min="3" max="3" width="12.33203125" style="68" bestFit="1" customWidth="1"/>
    <col min="4" max="6" width="9.21875" style="68"/>
    <col min="7" max="7" width="10.44140625" style="68" bestFit="1" customWidth="1"/>
    <col min="8" max="16384" width="9.21875" style="68"/>
  </cols>
  <sheetData>
    <row r="1" spans="1:10" x14ac:dyDescent="0.25">
      <c r="A1" s="68" t="s">
        <v>720</v>
      </c>
      <c r="B1" s="778" t="s">
        <v>216</v>
      </c>
      <c r="C1" s="778"/>
      <c r="E1" s="778" t="s">
        <v>91</v>
      </c>
      <c r="F1" s="778"/>
    </row>
    <row r="2" spans="1:10" x14ac:dyDescent="0.25">
      <c r="B2" s="69" t="s">
        <v>218</v>
      </c>
      <c r="C2" s="649">
        <v>100</v>
      </c>
      <c r="E2" s="69" t="s">
        <v>218</v>
      </c>
      <c r="F2" s="649">
        <v>100</v>
      </c>
      <c r="G2" s="42"/>
      <c r="H2" s="42"/>
      <c r="I2" s="42"/>
      <c r="J2" s="42"/>
    </row>
    <row r="3" spans="1:10" x14ac:dyDescent="0.25">
      <c r="B3" s="69" t="s">
        <v>702</v>
      </c>
      <c r="C3" s="649">
        <v>110</v>
      </c>
      <c r="E3" s="69" t="s">
        <v>702</v>
      </c>
      <c r="F3" s="649">
        <v>120</v>
      </c>
      <c r="G3" s="42"/>
      <c r="H3" s="42"/>
      <c r="I3" s="42"/>
      <c r="J3" s="42"/>
    </row>
    <row r="4" spans="1:10" x14ac:dyDescent="0.25">
      <c r="B4" s="660" t="s">
        <v>704</v>
      </c>
      <c r="C4" s="660">
        <v>0.5</v>
      </c>
      <c r="D4" s="661"/>
      <c r="E4" s="660" t="s">
        <v>704</v>
      </c>
      <c r="F4" s="660">
        <v>0.5</v>
      </c>
      <c r="G4" s="42"/>
      <c r="H4" s="42"/>
      <c r="I4" s="42"/>
      <c r="J4" s="42"/>
    </row>
    <row r="5" spans="1:10" x14ac:dyDescent="0.25">
      <c r="B5" s="69" t="s">
        <v>705</v>
      </c>
      <c r="C5" s="652">
        <f>(C2*NORMSDIST(C8))-(C3*EXP(-C7*C4)*NORMSDIST(C9))</f>
        <v>5.1235820491290767</v>
      </c>
      <c r="E5" s="69" t="s">
        <v>705</v>
      </c>
      <c r="F5" s="652">
        <f>(F2*NORMSDIST(F8))-(F3*EXP(-F7*F4)*NORMSDIST(F9))</f>
        <v>3.6659495528410559</v>
      </c>
      <c r="G5" s="42"/>
      <c r="H5" s="42"/>
      <c r="I5" s="42"/>
      <c r="J5" s="42"/>
    </row>
    <row r="6" spans="1:10" x14ac:dyDescent="0.25">
      <c r="G6" s="42"/>
      <c r="H6" s="42"/>
      <c r="I6" s="42"/>
      <c r="J6" s="42"/>
    </row>
    <row r="7" spans="1:10" x14ac:dyDescent="0.25">
      <c r="B7" s="69" t="s">
        <v>219</v>
      </c>
      <c r="C7" s="689">
        <v>0.1</v>
      </c>
      <c r="D7" s="42"/>
      <c r="E7" s="69" t="s">
        <v>219</v>
      </c>
      <c r="F7" s="689">
        <v>0.1</v>
      </c>
      <c r="G7" s="42"/>
      <c r="H7" s="42"/>
      <c r="I7" s="42"/>
      <c r="J7" s="42"/>
    </row>
    <row r="8" spans="1:10" x14ac:dyDescent="0.25">
      <c r="B8" s="69" t="s">
        <v>108</v>
      </c>
      <c r="C8" s="77">
        <f>(LN(C2/C3)+((C7+(0.5*C11*C11))*C4))/(C11*SQRT(C4))</f>
        <v>-0.16792473552304063</v>
      </c>
      <c r="D8" s="42"/>
      <c r="E8" s="69" t="s">
        <v>108</v>
      </c>
      <c r="F8" s="77">
        <f>(LN(F2/F3)+((F7+(0.5*F11*F11))*F4))/(F11*SQRT(F4))</f>
        <v>-0.51770378352979229</v>
      </c>
    </row>
    <row r="9" spans="1:10" x14ac:dyDescent="0.25">
      <c r="B9" s="69" t="s">
        <v>109</v>
      </c>
      <c r="C9" s="77">
        <f>C8-(C11*SQRT(C4))</f>
        <v>-0.34470143081967752</v>
      </c>
      <c r="D9" s="42"/>
      <c r="E9" s="69" t="s">
        <v>109</v>
      </c>
      <c r="F9" s="77">
        <f>F8-(F11*SQRT(F4))</f>
        <v>-0.72983581788575658</v>
      </c>
    </row>
    <row r="11" spans="1:10" x14ac:dyDescent="0.25">
      <c r="B11" s="69" t="s">
        <v>703</v>
      </c>
      <c r="C11" s="690">
        <v>0.25</v>
      </c>
      <c r="D11" s="42"/>
      <c r="E11" s="69" t="s">
        <v>703</v>
      </c>
      <c r="F11" s="690">
        <v>0.3</v>
      </c>
      <c r="G11" s="68" t="s">
        <v>761</v>
      </c>
    </row>
    <row r="12" spans="1:10" x14ac:dyDescent="0.25">
      <c r="A12" s="50"/>
    </row>
    <row r="13" spans="1:10" x14ac:dyDescent="0.25">
      <c r="A13" s="50"/>
      <c r="B13" s="50"/>
      <c r="C13" s="42"/>
      <c r="D13" s="42"/>
      <c r="E13" s="42"/>
    </row>
    <row r="14" spans="1:10" x14ac:dyDescent="0.25">
      <c r="A14" s="42"/>
      <c r="B14" s="42"/>
      <c r="C14" s="42"/>
      <c r="D14" s="42"/>
      <c r="E14" s="42"/>
    </row>
    <row r="15" spans="1:10" x14ac:dyDescent="0.25">
      <c r="A15" s="42"/>
      <c r="B15" s="42"/>
      <c r="C15" s="42"/>
      <c r="D15" s="42"/>
      <c r="E15" s="42"/>
    </row>
    <row r="16" spans="1:10" x14ac:dyDescent="0.25">
      <c r="A16" s="42"/>
      <c r="B16" s="42"/>
      <c r="C16" s="42"/>
      <c r="D16" s="42"/>
      <c r="E16" s="42"/>
    </row>
    <row r="17" spans="1:5" x14ac:dyDescent="0.25">
      <c r="A17" s="42"/>
      <c r="B17" s="42"/>
      <c r="C17" s="42"/>
      <c r="D17" s="42"/>
      <c r="E17" s="42"/>
    </row>
    <row r="18" spans="1:5" x14ac:dyDescent="0.25">
      <c r="A18" s="42"/>
      <c r="B18" s="42"/>
      <c r="C18" s="42"/>
      <c r="D18" s="42"/>
      <c r="E18" s="42"/>
    </row>
    <row r="19" spans="1:5" x14ac:dyDescent="0.25">
      <c r="A19" s="42"/>
      <c r="B19" s="42"/>
      <c r="C19" s="42"/>
      <c r="D19" s="42"/>
      <c r="E19" s="42"/>
    </row>
  </sheetData>
  <mergeCells count="2">
    <mergeCell ref="B1:C1"/>
    <mergeCell ref="E1:F1"/>
  </mergeCells>
  <pageMargins left="0.75" right="0.75" top="1" bottom="1" header="0.5" footer="0.5"/>
  <pageSetup orientation="portrait" r:id="rId1"/>
  <headerFooter alignWithMargins="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084E-EBA4-41F8-BD3A-8EFC7DDB5945}">
  <dimension ref="A1:N33"/>
  <sheetViews>
    <sheetView topLeftCell="A4" zoomScaleNormal="100" workbookViewId="0">
      <selection activeCell="G30" sqref="G30"/>
    </sheetView>
  </sheetViews>
  <sheetFormatPr baseColWidth="10" defaultColWidth="9.21875" defaultRowHeight="13.2" x14ac:dyDescent="0.25"/>
  <cols>
    <col min="1" max="1" width="12.21875" style="68" bestFit="1" customWidth="1"/>
    <col min="2" max="2" width="10.44140625" style="68" bestFit="1" customWidth="1"/>
    <col min="3" max="16384" width="9.21875" style="68"/>
  </cols>
  <sheetData>
    <row r="1" spans="1:14" x14ac:dyDescent="0.25">
      <c r="A1" s="662" t="s">
        <v>721</v>
      </c>
      <c r="B1" s="663" t="s">
        <v>722</v>
      </c>
      <c r="C1" s="663"/>
      <c r="D1" s="663"/>
      <c r="E1" s="663"/>
      <c r="F1" s="663"/>
      <c r="G1" s="663"/>
      <c r="H1" s="663"/>
      <c r="I1" s="663"/>
      <c r="J1" s="663"/>
      <c r="K1" s="663"/>
      <c r="L1" s="663"/>
      <c r="M1" s="663"/>
      <c r="N1" s="273"/>
    </row>
    <row r="2" spans="1:14" x14ac:dyDescent="0.25">
      <c r="A2" s="664"/>
      <c r="B2" s="42" t="s">
        <v>723</v>
      </c>
      <c r="C2" s="42"/>
      <c r="D2" s="42"/>
      <c r="N2" s="275"/>
    </row>
    <row r="3" spans="1:14" ht="13.8" thickBot="1" x14ac:dyDescent="0.3">
      <c r="A3" s="665"/>
      <c r="B3" s="619"/>
      <c r="C3" s="619"/>
      <c r="D3" s="619"/>
      <c r="E3" s="666"/>
      <c r="F3" s="666"/>
      <c r="G3" s="666"/>
      <c r="H3" s="666"/>
      <c r="I3" s="666"/>
      <c r="J3" s="666"/>
      <c r="K3" s="666"/>
      <c r="L3" s="666"/>
      <c r="M3" s="666"/>
      <c r="N3" s="278"/>
    </row>
    <row r="4" spans="1:14" x14ac:dyDescent="0.25">
      <c r="A4" s="662"/>
      <c r="B4" s="667"/>
      <c r="C4" s="667"/>
      <c r="D4" s="667"/>
      <c r="E4" s="663"/>
      <c r="F4" s="663"/>
      <c r="G4" s="663"/>
      <c r="H4" s="663"/>
      <c r="I4" s="663"/>
      <c r="J4" s="663"/>
      <c r="K4" s="663"/>
      <c r="L4" s="663"/>
      <c r="M4" s="663"/>
      <c r="N4" s="273"/>
    </row>
    <row r="5" spans="1:14" x14ac:dyDescent="0.25">
      <c r="A5" s="664" t="s">
        <v>724</v>
      </c>
      <c r="B5" s="42" t="s">
        <v>725</v>
      </c>
      <c r="C5" s="42"/>
      <c r="D5" s="42"/>
      <c r="N5" s="275"/>
    </row>
    <row r="6" spans="1:14" ht="13.8" thickBot="1" x14ac:dyDescent="0.3">
      <c r="A6" s="664"/>
      <c r="B6" s="42"/>
      <c r="C6" s="42"/>
      <c r="D6" s="42"/>
      <c r="N6" s="275"/>
    </row>
    <row r="7" spans="1:14" x14ac:dyDescent="0.25">
      <c r="A7" s="662"/>
      <c r="B7" s="667"/>
      <c r="C7" s="667"/>
      <c r="D7" s="667"/>
      <c r="E7" s="663"/>
      <c r="F7" s="663"/>
      <c r="G7" s="663"/>
      <c r="H7" s="663"/>
      <c r="I7" s="663"/>
      <c r="J7" s="663"/>
      <c r="K7" s="663"/>
      <c r="L7" s="663"/>
      <c r="M7" s="663"/>
      <c r="N7" s="273"/>
    </row>
    <row r="8" spans="1:14" x14ac:dyDescent="0.25">
      <c r="A8" s="664" t="s">
        <v>726</v>
      </c>
      <c r="B8" s="42" t="s">
        <v>727</v>
      </c>
      <c r="C8" s="137" t="s">
        <v>218</v>
      </c>
      <c r="D8" s="668">
        <v>101</v>
      </c>
      <c r="E8" s="668">
        <v>100</v>
      </c>
      <c r="N8" s="275"/>
    </row>
    <row r="9" spans="1:14" x14ac:dyDescent="0.25">
      <c r="A9" s="664"/>
      <c r="B9" s="42"/>
      <c r="C9" s="137" t="s">
        <v>702</v>
      </c>
      <c r="D9" s="668">
        <v>120</v>
      </c>
      <c r="E9" s="668">
        <v>120</v>
      </c>
      <c r="N9" s="275"/>
    </row>
    <row r="10" spans="1:14" x14ac:dyDescent="0.25">
      <c r="A10" s="664"/>
      <c r="C10" s="137" t="s">
        <v>703</v>
      </c>
      <c r="D10" s="669">
        <v>0.3</v>
      </c>
      <c r="E10" s="669">
        <v>0.3</v>
      </c>
      <c r="N10" s="275"/>
    </row>
    <row r="11" spans="1:14" x14ac:dyDescent="0.25">
      <c r="A11" s="664"/>
      <c r="C11" s="137" t="s">
        <v>219</v>
      </c>
      <c r="D11" s="670">
        <v>0.1</v>
      </c>
      <c r="E11" s="670">
        <v>0.1</v>
      </c>
      <c r="N11" s="275"/>
    </row>
    <row r="12" spans="1:14" x14ac:dyDescent="0.25">
      <c r="A12" s="664"/>
      <c r="C12" s="137" t="s">
        <v>704</v>
      </c>
      <c r="D12" s="68">
        <v>0.5</v>
      </c>
      <c r="E12" s="68">
        <v>0.5</v>
      </c>
      <c r="N12" s="275"/>
    </row>
    <row r="13" spans="1:14" x14ac:dyDescent="0.25">
      <c r="A13" s="671"/>
      <c r="C13" s="137" t="s">
        <v>108</v>
      </c>
      <c r="D13" s="68">
        <f>(LN(D8/D9)+((D11+(0.5*D10*D10))*D12))/(D10*SQRT(D12))</f>
        <v>-0.47079747405429317</v>
      </c>
      <c r="E13" s="68">
        <f>(LN(E8/E9)+((E11+(0.5*E10*E10))*E12))/(E10*SQRT(E12))</f>
        <v>-0.51770378352979229</v>
      </c>
      <c r="N13" s="275"/>
    </row>
    <row r="14" spans="1:14" x14ac:dyDescent="0.25">
      <c r="A14" s="671"/>
      <c r="C14" s="137" t="s">
        <v>109</v>
      </c>
      <c r="D14" s="68">
        <f>D13-(D10*SQRT(D12))</f>
        <v>-0.68292950841025746</v>
      </c>
      <c r="E14" s="68">
        <f>E13-(E10*SQRT(E12))</f>
        <v>-0.72983581788575658</v>
      </c>
      <c r="N14" s="275"/>
    </row>
    <row r="15" spans="1:14" x14ac:dyDescent="0.25">
      <c r="A15" s="612"/>
      <c r="C15" s="137" t="s">
        <v>705</v>
      </c>
      <c r="D15" s="672">
        <f>(D8*NORMSDIST(D13))-(D9*EXP(-D11*D12)*NORMSDIST(D14))</f>
        <v>3.9765438755658806</v>
      </c>
      <c r="E15" s="672">
        <f>(E8*NORMSDIST(E13))-(E9*EXP(-E11*E12)*NORMSDIST(E14))</f>
        <v>3.6659495528410559</v>
      </c>
      <c r="N15" s="275"/>
    </row>
    <row r="16" spans="1:14" x14ac:dyDescent="0.25">
      <c r="A16" s="612"/>
      <c r="C16" s="779" t="s">
        <v>728</v>
      </c>
      <c r="D16" s="779"/>
      <c r="E16" s="673">
        <f>(D15-E15)/1</f>
        <v>0.31059432272482468</v>
      </c>
      <c r="F16" s="68" t="s">
        <v>729</v>
      </c>
      <c r="N16" s="275"/>
    </row>
    <row r="17" spans="1:14" x14ac:dyDescent="0.25">
      <c r="A17" s="612"/>
      <c r="N17" s="275"/>
    </row>
    <row r="18" spans="1:14" x14ac:dyDescent="0.25">
      <c r="A18" s="612"/>
      <c r="C18" s="68" t="s">
        <v>730</v>
      </c>
      <c r="N18" s="275"/>
    </row>
    <row r="19" spans="1:14" x14ac:dyDescent="0.25">
      <c r="A19" s="664"/>
      <c r="N19" s="275"/>
    </row>
    <row r="20" spans="1:14" x14ac:dyDescent="0.25">
      <c r="A20" s="664"/>
      <c r="C20" s="68" t="s">
        <v>731</v>
      </c>
      <c r="N20" s="275"/>
    </row>
    <row r="21" spans="1:14" x14ac:dyDescent="0.25">
      <c r="A21" s="664"/>
      <c r="N21" s="275"/>
    </row>
    <row r="22" spans="1:14" x14ac:dyDescent="0.25">
      <c r="A22" s="664"/>
      <c r="N22" s="275"/>
    </row>
    <row r="23" spans="1:14" x14ac:dyDescent="0.25">
      <c r="A23" s="664"/>
      <c r="N23" s="275"/>
    </row>
    <row r="24" spans="1:14" x14ac:dyDescent="0.25">
      <c r="A24" s="664"/>
      <c r="N24" s="275"/>
    </row>
    <row r="25" spans="1:14" x14ac:dyDescent="0.25">
      <c r="A25" s="664"/>
      <c r="C25" s="68" t="s">
        <v>732</v>
      </c>
      <c r="N25" s="275"/>
    </row>
    <row r="26" spans="1:14" x14ac:dyDescent="0.25">
      <c r="A26" s="664"/>
      <c r="N26" s="275"/>
    </row>
    <row r="27" spans="1:14" x14ac:dyDescent="0.25">
      <c r="A27" s="664"/>
      <c r="N27" s="275"/>
    </row>
    <row r="28" spans="1:14" x14ac:dyDescent="0.25">
      <c r="A28" s="664"/>
      <c r="N28" s="275"/>
    </row>
    <row r="29" spans="1:14" x14ac:dyDescent="0.25">
      <c r="A29" s="664"/>
      <c r="N29" s="275"/>
    </row>
    <row r="30" spans="1:14" x14ac:dyDescent="0.25">
      <c r="A30" s="664"/>
      <c r="C30" s="68" t="s">
        <v>733</v>
      </c>
      <c r="G30" s="673">
        <f>NORMSDIST(E13)</f>
        <v>0.30233247902181287</v>
      </c>
      <c r="N30" s="275"/>
    </row>
    <row r="31" spans="1:14" x14ac:dyDescent="0.25">
      <c r="A31" s="664"/>
      <c r="N31" s="275"/>
    </row>
    <row r="32" spans="1:14" x14ac:dyDescent="0.25">
      <c r="A32" s="664"/>
      <c r="C32" s="68" t="s">
        <v>734</v>
      </c>
      <c r="E32" s="674" t="s">
        <v>735</v>
      </c>
      <c r="N32" s="275"/>
    </row>
    <row r="33" spans="1:14" ht="13.8" thickBot="1" x14ac:dyDescent="0.3">
      <c r="A33" s="665"/>
      <c r="B33" s="666"/>
      <c r="C33" s="666"/>
      <c r="D33" s="666"/>
      <c r="E33" s="666"/>
      <c r="F33" s="666"/>
      <c r="G33" s="666"/>
      <c r="H33" s="666"/>
      <c r="I33" s="666"/>
      <c r="J33" s="666"/>
      <c r="K33" s="666"/>
      <c r="L33" s="666"/>
      <c r="M33" s="666"/>
      <c r="N33" s="278"/>
    </row>
  </sheetData>
  <mergeCells count="1">
    <mergeCell ref="C16:D16"/>
  </mergeCells>
  <hyperlinks>
    <hyperlink ref="E32" r:id="rId1" xr:uid="{4207A9D0-AD44-4CC8-815D-9911AD7D1E72}"/>
  </hyperlinks>
  <pageMargins left="0.75" right="0.75" top="1" bottom="1" header="0.5" footer="0.5"/>
  <pageSetup orientation="portrait" r:id="rId2"/>
  <headerFooter alignWithMargins="0"/>
  <drawing r:id="rId3"/>
  <legacyDrawing r:id="rId4"/>
  <oleObjects>
    <mc:AlternateContent xmlns:mc="http://schemas.openxmlformats.org/markup-compatibility/2006">
      <mc:Choice Requires="x14">
        <oleObject shapeId="521217" r:id="rId5">
          <objectPr defaultSize="0" autoPict="0" r:id="rId6">
            <anchor moveWithCells="1">
              <from>
                <xdr:col>3</xdr:col>
                <xdr:colOff>22860</xdr:colOff>
                <xdr:row>20</xdr:row>
                <xdr:rowOff>114300</xdr:rowOff>
              </from>
              <to>
                <xdr:col>7</xdr:col>
                <xdr:colOff>381000</xdr:colOff>
                <xdr:row>23</xdr:row>
                <xdr:rowOff>68580</xdr:rowOff>
              </to>
            </anchor>
          </objectPr>
        </oleObject>
      </mc:Choice>
      <mc:Fallback>
        <oleObject shapeId="521217" r:id="rId5"/>
      </mc:Fallback>
    </mc:AlternateContent>
  </oleObjec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8D13-096B-4F9C-98A1-1F307823AE4D}">
  <dimension ref="A1:L18"/>
  <sheetViews>
    <sheetView zoomScaleNormal="100" workbookViewId="0">
      <selection activeCell="C9" sqref="C9"/>
    </sheetView>
  </sheetViews>
  <sheetFormatPr baseColWidth="10" defaultColWidth="9.21875" defaultRowHeight="13.2" x14ac:dyDescent="0.25"/>
  <cols>
    <col min="1" max="1" width="9.21875" style="68"/>
    <col min="2" max="2" width="16.33203125" style="68" bestFit="1" customWidth="1"/>
    <col min="3" max="3" width="14.21875" style="68" customWidth="1"/>
    <col min="4" max="4" width="12.5546875" style="68" bestFit="1" customWidth="1"/>
    <col min="5" max="5" width="12.33203125" style="68" bestFit="1" customWidth="1"/>
    <col min="6" max="8" width="9.21875" style="68"/>
    <col min="9" max="9" width="10.44140625" style="68" bestFit="1" customWidth="1"/>
    <col min="10" max="16384" width="9.21875" style="68"/>
  </cols>
  <sheetData>
    <row r="1" spans="1:12" x14ac:dyDescent="0.25">
      <c r="A1" s="68" t="s">
        <v>736</v>
      </c>
      <c r="B1" s="69" t="s">
        <v>218</v>
      </c>
      <c r="C1" s="649">
        <v>100</v>
      </c>
    </row>
    <row r="2" spans="1:12" x14ac:dyDescent="0.25">
      <c r="B2" s="69" t="s">
        <v>702</v>
      </c>
      <c r="C2" s="649">
        <v>120</v>
      </c>
      <c r="I2" s="42"/>
      <c r="J2" s="42"/>
      <c r="K2" s="42"/>
      <c r="L2" s="42"/>
    </row>
    <row r="3" spans="1:12" x14ac:dyDescent="0.25">
      <c r="B3" s="69" t="s">
        <v>703</v>
      </c>
      <c r="C3" s="650">
        <v>0.3</v>
      </c>
      <c r="I3" s="42"/>
      <c r="J3" s="42"/>
      <c r="K3" s="42"/>
      <c r="L3" s="42"/>
    </row>
    <row r="4" spans="1:12" x14ac:dyDescent="0.25">
      <c r="B4" s="69" t="s">
        <v>219</v>
      </c>
      <c r="C4" s="651">
        <v>0.1</v>
      </c>
      <c r="I4" s="42"/>
      <c r="J4" s="42"/>
      <c r="K4" s="42"/>
      <c r="L4" s="42"/>
    </row>
    <row r="5" spans="1:12" x14ac:dyDescent="0.25">
      <c r="B5" s="69" t="s">
        <v>704</v>
      </c>
      <c r="C5" s="77">
        <v>0.5</v>
      </c>
      <c r="D5" s="42"/>
      <c r="E5" s="42"/>
      <c r="F5" s="42"/>
      <c r="G5" s="42"/>
      <c r="I5" s="42"/>
      <c r="J5" s="42"/>
      <c r="K5" s="42"/>
      <c r="L5" s="42"/>
    </row>
    <row r="6" spans="1:12" x14ac:dyDescent="0.25">
      <c r="B6" s="69" t="s">
        <v>108</v>
      </c>
      <c r="C6" s="77">
        <f>(LN(C1/C2)+((C4+(0.5*C3*C3))*C5))/(C3*SQRT(C5))</f>
        <v>-0.51770378352979229</v>
      </c>
      <c r="D6" s="42"/>
      <c r="E6" s="42"/>
      <c r="F6" s="42"/>
      <c r="G6" s="42"/>
    </row>
    <row r="7" spans="1:12" x14ac:dyDescent="0.25">
      <c r="B7" s="69" t="s">
        <v>109</v>
      </c>
      <c r="C7" s="77">
        <f>C6-(C3*SQRT(C5))</f>
        <v>-0.72983581788575658</v>
      </c>
      <c r="D7" s="42"/>
      <c r="E7" s="42"/>
      <c r="F7" s="42"/>
      <c r="G7" s="42"/>
    </row>
    <row r="8" spans="1:12" x14ac:dyDescent="0.25">
      <c r="B8" s="69" t="s">
        <v>705</v>
      </c>
      <c r="C8" s="675">
        <f>(C1*NORMSDIST(C6))-(C2*EXP(-C4*C5)*NORMSDIST(C7))</f>
        <v>3.6659495528410559</v>
      </c>
    </row>
    <row r="9" spans="1:12" x14ac:dyDescent="0.25">
      <c r="B9" s="77" t="s">
        <v>737</v>
      </c>
      <c r="C9" s="509">
        <f>NORMSDIST(C7)</f>
        <v>0.23274527386216531</v>
      </c>
    </row>
    <row r="11" spans="1:12" x14ac:dyDescent="0.25">
      <c r="B11" s="42"/>
      <c r="C11" s="50"/>
      <c r="D11" s="50"/>
      <c r="E11" s="42"/>
      <c r="F11" s="42"/>
      <c r="G11" s="42"/>
    </row>
    <row r="12" spans="1:12" x14ac:dyDescent="0.25">
      <c r="B12" s="42"/>
      <c r="C12" s="50"/>
      <c r="D12" s="50"/>
      <c r="E12" s="42"/>
      <c r="F12" s="42"/>
      <c r="G12" s="42"/>
    </row>
    <row r="13" spans="1:12" x14ac:dyDescent="0.25">
      <c r="B13" s="42"/>
      <c r="C13" s="42"/>
      <c r="D13" s="42"/>
      <c r="E13" s="42"/>
      <c r="F13" s="42"/>
      <c r="G13" s="42"/>
    </row>
    <row r="14" spans="1:12" x14ac:dyDescent="0.25">
      <c r="B14" s="42"/>
      <c r="C14" s="653"/>
      <c r="D14" s="42"/>
      <c r="E14" s="42"/>
      <c r="F14" s="42"/>
      <c r="G14" s="42"/>
    </row>
    <row r="15" spans="1:12" x14ac:dyDescent="0.25">
      <c r="B15" s="42"/>
      <c r="C15" s="653"/>
      <c r="D15" s="42"/>
      <c r="E15" s="42"/>
      <c r="F15" s="42"/>
      <c r="G15" s="42"/>
    </row>
    <row r="16" spans="1:12" x14ac:dyDescent="0.25">
      <c r="B16" s="42"/>
      <c r="C16" s="654"/>
      <c r="D16" s="42"/>
      <c r="E16" s="42"/>
      <c r="F16" s="42"/>
      <c r="G16" s="42"/>
    </row>
    <row r="17" spans="2:7" x14ac:dyDescent="0.25">
      <c r="B17" s="42"/>
      <c r="C17" s="42"/>
      <c r="D17" s="42"/>
      <c r="E17" s="42"/>
      <c r="F17" s="42"/>
      <c r="G17" s="42"/>
    </row>
    <row r="18" spans="2:7" x14ac:dyDescent="0.25">
      <c r="B18" s="42"/>
      <c r="C18" s="42"/>
      <c r="D18" s="42"/>
      <c r="E18" s="42"/>
      <c r="F18" s="42"/>
      <c r="G18" s="42"/>
    </row>
  </sheetData>
  <pageMargins left="0.75" right="0.75" top="1" bottom="1" header="0.5" footer="0.5"/>
  <pageSetup orientation="portrait" r:id="rId1"/>
  <headerFooter alignWithMargins="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B1FF-5C96-438D-A98F-FFFFABF1E30F}">
  <dimension ref="A1:AK134"/>
  <sheetViews>
    <sheetView zoomScale="110" zoomScaleNormal="110" workbookViewId="0">
      <selection activeCell="P12" sqref="P12"/>
    </sheetView>
  </sheetViews>
  <sheetFormatPr baseColWidth="10" defaultColWidth="9.21875" defaultRowHeight="13.2" x14ac:dyDescent="0.25"/>
  <cols>
    <col min="1" max="2" width="9.21875" style="42"/>
    <col min="3" max="3" width="10.33203125" style="42" bestFit="1" customWidth="1"/>
    <col min="4" max="25" width="9.21875" style="42"/>
    <col min="26" max="26" width="20.44140625" style="42" bestFit="1" customWidth="1"/>
    <col min="27" max="32" width="9.21875" style="42"/>
    <col min="33" max="33" width="12.44140625" style="42" bestFit="1" customWidth="1"/>
    <col min="34" max="34" width="20.21875" style="42" bestFit="1" customWidth="1"/>
    <col min="35" max="16384" width="9.21875" style="42"/>
  </cols>
  <sheetData>
    <row r="1" spans="1:37" x14ac:dyDescent="0.25">
      <c r="C1" s="43" t="s">
        <v>114</v>
      </c>
      <c r="D1" s="702" t="s">
        <v>115</v>
      </c>
      <c r="E1" s="702"/>
      <c r="F1" s="702"/>
    </row>
    <row r="2" spans="1:37" x14ac:dyDescent="0.25">
      <c r="D2" s="46" t="s">
        <v>111</v>
      </c>
      <c r="E2" s="46" t="s">
        <v>119</v>
      </c>
      <c r="F2" s="46" t="s">
        <v>117</v>
      </c>
    </row>
    <row r="3" spans="1:37" x14ac:dyDescent="0.25">
      <c r="D3" s="46" t="s">
        <v>112</v>
      </c>
      <c r="E3" s="46" t="s">
        <v>113</v>
      </c>
      <c r="F3" s="46">
        <v>100</v>
      </c>
      <c r="Z3" s="714" t="s">
        <v>89</v>
      </c>
      <c r="AA3" s="724" t="str">
        <f>AI5</f>
        <v>P</v>
      </c>
      <c r="AB3" s="724" t="str">
        <f>AJ5</f>
        <v>C</v>
      </c>
      <c r="AC3" s="724" t="s">
        <v>118</v>
      </c>
      <c r="AD3" s="723" t="s">
        <v>90</v>
      </c>
      <c r="AI3" s="43" t="s">
        <v>91</v>
      </c>
      <c r="AJ3" s="43" t="s">
        <v>92</v>
      </c>
      <c r="AK3" s="43" t="s">
        <v>93</v>
      </c>
    </row>
    <row r="4" spans="1:37" x14ac:dyDescent="0.25">
      <c r="D4" s="46" t="s">
        <v>125</v>
      </c>
      <c r="E4" s="46" t="s">
        <v>116</v>
      </c>
      <c r="F4" s="46">
        <v>100</v>
      </c>
      <c r="Z4" s="716"/>
      <c r="AA4" s="725"/>
      <c r="AB4" s="725"/>
      <c r="AC4" s="725"/>
      <c r="AD4" s="723"/>
      <c r="AG4" s="714" t="s">
        <v>94</v>
      </c>
      <c r="AH4" s="45" t="s">
        <v>95</v>
      </c>
      <c r="AI4" s="702">
        <v>100</v>
      </c>
      <c r="AJ4" s="702"/>
      <c r="AK4" s="702"/>
    </row>
    <row r="5" spans="1:37" x14ac:dyDescent="0.25">
      <c r="D5" s="46" t="s">
        <v>143</v>
      </c>
      <c r="E5" s="46" t="s">
        <v>120</v>
      </c>
      <c r="F5" s="46">
        <v>100</v>
      </c>
      <c r="Z5" s="47" t="s">
        <v>96</v>
      </c>
      <c r="AA5" s="717"/>
      <c r="AB5" s="717"/>
      <c r="AC5" s="718"/>
      <c r="AD5" s="714"/>
      <c r="AG5" s="715"/>
      <c r="AH5" s="50" t="s">
        <v>97</v>
      </c>
      <c r="AI5" s="46" t="s">
        <v>98</v>
      </c>
      <c r="AJ5" s="46" t="s">
        <v>99</v>
      </c>
      <c r="AK5" s="46" t="s">
        <v>118</v>
      </c>
    </row>
    <row r="6" spans="1:37" x14ac:dyDescent="0.25">
      <c r="D6" s="46" t="s">
        <v>121</v>
      </c>
      <c r="E6" s="46" t="s">
        <v>122</v>
      </c>
      <c r="Z6" s="51">
        <v>0</v>
      </c>
      <c r="AA6" s="52">
        <f t="shared" ref="AA6:AA69" si="0">(MAX(IF($AA$3="C",1,-1)*(Z6-$AI$7),0)-IF($AI$12="Y",$AI$15,0))*$AI$6</f>
        <v>-100</v>
      </c>
      <c r="AB6" s="45">
        <f t="shared" ref="AB6:AB69" si="1">(MAX(IF($AB$3="C",1,-1)*(Z6-$AJ$7),0)-IF($AI$12="Y",$AJ$15,0))*$AJ$6</f>
        <v>0</v>
      </c>
      <c r="AC6" s="48">
        <f t="shared" ref="AC6:AC69" si="2">(Z6-$AK$7)*$AK$6</f>
        <v>0</v>
      </c>
      <c r="AD6" s="53">
        <f t="shared" ref="AD6:AD69" si="3">SUM(AA6:AC6)*IF($E$6="Y",1,0)</f>
        <v>-100</v>
      </c>
      <c r="AG6" s="715"/>
      <c r="AH6" s="50" t="s">
        <v>100</v>
      </c>
      <c r="AI6" s="46">
        <f>IF(D4="Long",1,IF(D4="Short",-1,0))</f>
        <v>-1</v>
      </c>
      <c r="AJ6" s="46">
        <f>IF(D3="Long",1,IF(D3="Short",-1,0))</f>
        <v>1</v>
      </c>
      <c r="AK6" s="46">
        <f>IF(D5="Long",1,IF(D5="Short",-1,0))</f>
        <v>0</v>
      </c>
    </row>
    <row r="7" spans="1:37" x14ac:dyDescent="0.25">
      <c r="Z7" s="54">
        <f t="shared" ref="Z7:Z70" si="4">Z6+2</f>
        <v>2</v>
      </c>
      <c r="AA7" s="55">
        <f t="shared" si="0"/>
        <v>-98</v>
      </c>
      <c r="AB7" s="56">
        <f t="shared" si="1"/>
        <v>0</v>
      </c>
      <c r="AC7" s="50">
        <f t="shared" si="2"/>
        <v>0</v>
      </c>
      <c r="AD7" s="57">
        <f t="shared" si="3"/>
        <v>-98</v>
      </c>
      <c r="AG7" s="715"/>
      <c r="AH7" s="56" t="s">
        <v>101</v>
      </c>
      <c r="AI7" s="46">
        <f>F4</f>
        <v>100</v>
      </c>
      <c r="AJ7" s="46">
        <f>F3</f>
        <v>100</v>
      </c>
      <c r="AK7" s="46">
        <f>F5</f>
        <v>100</v>
      </c>
    </row>
    <row r="8" spans="1:37" x14ac:dyDescent="0.25">
      <c r="Z8" s="54">
        <f t="shared" si="4"/>
        <v>4</v>
      </c>
      <c r="AA8" s="55">
        <f t="shared" si="0"/>
        <v>-96</v>
      </c>
      <c r="AB8" s="56">
        <f t="shared" si="1"/>
        <v>0</v>
      </c>
      <c r="AC8" s="50">
        <f t="shared" si="2"/>
        <v>0</v>
      </c>
      <c r="AD8" s="57">
        <f t="shared" si="3"/>
        <v>-96</v>
      </c>
      <c r="AG8" s="715"/>
      <c r="AH8" s="56" t="s">
        <v>102</v>
      </c>
      <c r="AI8" s="719">
        <v>0.05</v>
      </c>
      <c r="AJ8" s="719"/>
      <c r="AK8" s="720"/>
    </row>
    <row r="9" spans="1:37" x14ac:dyDescent="0.25">
      <c r="A9" s="42" t="s">
        <v>126</v>
      </c>
      <c r="Z9" s="54">
        <f t="shared" si="4"/>
        <v>6</v>
      </c>
      <c r="AA9" s="55">
        <f t="shared" si="0"/>
        <v>-94</v>
      </c>
      <c r="AB9" s="56">
        <f t="shared" si="1"/>
        <v>0</v>
      </c>
      <c r="AC9" s="50">
        <f t="shared" si="2"/>
        <v>0</v>
      </c>
      <c r="AD9" s="57">
        <f t="shared" si="3"/>
        <v>-94</v>
      </c>
      <c r="AG9" s="715"/>
      <c r="AH9" s="56" t="s">
        <v>103</v>
      </c>
      <c r="AI9" s="719">
        <v>0.02</v>
      </c>
      <c r="AJ9" s="719"/>
      <c r="AK9" s="720"/>
    </row>
    <row r="10" spans="1:37" x14ac:dyDescent="0.25">
      <c r="A10" s="42" t="s">
        <v>127</v>
      </c>
      <c r="Z10" s="54">
        <f t="shared" si="4"/>
        <v>8</v>
      </c>
      <c r="AA10" s="55">
        <f t="shared" si="0"/>
        <v>-92</v>
      </c>
      <c r="AB10" s="56">
        <f t="shared" si="1"/>
        <v>0</v>
      </c>
      <c r="AC10" s="50">
        <f t="shared" si="2"/>
        <v>0</v>
      </c>
      <c r="AD10" s="57">
        <f t="shared" si="3"/>
        <v>-92</v>
      </c>
      <c r="AG10" s="715"/>
      <c r="AH10" s="56" t="s">
        <v>104</v>
      </c>
      <c r="AI10" s="719">
        <v>0.2</v>
      </c>
      <c r="AJ10" s="719"/>
      <c r="AK10" s="720"/>
    </row>
    <row r="11" spans="1:37" x14ac:dyDescent="0.25">
      <c r="Z11" s="54">
        <f t="shared" si="4"/>
        <v>10</v>
      </c>
      <c r="AA11" s="55">
        <f t="shared" si="0"/>
        <v>-90</v>
      </c>
      <c r="AB11" s="56">
        <f t="shared" si="1"/>
        <v>0</v>
      </c>
      <c r="AC11" s="50">
        <f t="shared" si="2"/>
        <v>0</v>
      </c>
      <c r="AD11" s="57">
        <f t="shared" si="3"/>
        <v>-90</v>
      </c>
      <c r="AG11" s="715"/>
      <c r="AH11" s="58" t="s">
        <v>105</v>
      </c>
      <c r="AI11" s="721">
        <v>1</v>
      </c>
      <c r="AJ11" s="721"/>
      <c r="AK11" s="722"/>
    </row>
    <row r="12" spans="1:37" x14ac:dyDescent="0.25">
      <c r="A12" s="42" t="s">
        <v>126</v>
      </c>
      <c r="Z12" s="54">
        <f t="shared" si="4"/>
        <v>12</v>
      </c>
      <c r="AA12" s="55">
        <f t="shared" si="0"/>
        <v>-88</v>
      </c>
      <c r="AB12" s="56">
        <f t="shared" si="1"/>
        <v>0</v>
      </c>
      <c r="AC12" s="50">
        <f t="shared" si="2"/>
        <v>0</v>
      </c>
      <c r="AD12" s="57">
        <f t="shared" si="3"/>
        <v>-88</v>
      </c>
      <c r="AG12" s="716"/>
      <c r="AH12" s="59" t="s">
        <v>106</v>
      </c>
      <c r="AI12" s="721" t="str">
        <f>IF(D1="Payoff","N","Y")</f>
        <v>N</v>
      </c>
      <c r="AJ12" s="721"/>
      <c r="AK12" s="722"/>
    </row>
    <row r="13" spans="1:37" x14ac:dyDescent="0.25">
      <c r="A13" s="384" t="s">
        <v>128</v>
      </c>
      <c r="B13" s="385"/>
      <c r="C13" s="385"/>
      <c r="D13" s="386"/>
      <c r="E13" s="723" t="s">
        <v>738</v>
      </c>
      <c r="F13" s="723"/>
      <c r="Z13" s="54">
        <f t="shared" si="4"/>
        <v>14</v>
      </c>
      <c r="AA13" s="55">
        <f t="shared" si="0"/>
        <v>-86</v>
      </c>
      <c r="AB13" s="56">
        <f t="shared" si="1"/>
        <v>0</v>
      </c>
      <c r="AC13" s="50">
        <f t="shared" si="2"/>
        <v>0</v>
      </c>
      <c r="AD13" s="57">
        <f t="shared" si="3"/>
        <v>-86</v>
      </c>
      <c r="AG13" s="41" t="s">
        <v>107</v>
      </c>
      <c r="AH13" s="52" t="s">
        <v>108</v>
      </c>
      <c r="AI13" s="47">
        <f>(LN($AI$4/AI7)+(($AI$8-$AI$9+(0.5*$AI$10*$AI$10))*$AI$11))/($AI$10*SQRT($AI$11))</f>
        <v>0.25</v>
      </c>
      <c r="AJ13" s="47">
        <f>(LN($AI$4/AJ7)+(($AI$8-$AI$9+(0.5*$AI$10*$AI$10))*$AI$11))/($AI$10*SQRT($AI$11))</f>
        <v>0.25</v>
      </c>
      <c r="AK13" s="47">
        <f>(LN($AI$4/AK7)+(($AI$8-$AI$9+(0.5*$AI$10*$AI$10))*$AI$11))/($AI$10*SQRT($AI$11))</f>
        <v>0.25</v>
      </c>
    </row>
    <row r="14" spans="1:37" x14ac:dyDescent="0.25">
      <c r="A14" s="676" t="s">
        <v>129</v>
      </c>
      <c r="B14" s="677"/>
      <c r="C14" s="677"/>
      <c r="D14" s="678"/>
      <c r="E14" s="723"/>
      <c r="F14" s="723"/>
      <c r="Z14" s="54">
        <f t="shared" si="4"/>
        <v>16</v>
      </c>
      <c r="AA14" s="55">
        <f t="shared" si="0"/>
        <v>-84</v>
      </c>
      <c r="AB14" s="56">
        <f t="shared" si="1"/>
        <v>0</v>
      </c>
      <c r="AC14" s="50">
        <f t="shared" si="2"/>
        <v>0</v>
      </c>
      <c r="AD14" s="57">
        <f t="shared" si="3"/>
        <v>-84</v>
      </c>
      <c r="AG14" s="49"/>
      <c r="AH14" s="55" t="s">
        <v>109</v>
      </c>
      <c r="AI14" s="60">
        <f>AI13-($AI$10*SQRT($AI$11))</f>
        <v>4.9999999999999989E-2</v>
      </c>
      <c r="AJ14" s="60">
        <f>AJ13-($AI$10*SQRT($AI$11))</f>
        <v>4.9999999999999989E-2</v>
      </c>
      <c r="AK14" s="60">
        <f>AK13-($AI$10*SQRT($AI$11))</f>
        <v>4.9999999999999989E-2</v>
      </c>
    </row>
    <row r="15" spans="1:37" x14ac:dyDescent="0.25">
      <c r="Z15" s="54">
        <f t="shared" si="4"/>
        <v>18</v>
      </c>
      <c r="AA15" s="55">
        <f t="shared" si="0"/>
        <v>-82</v>
      </c>
      <c r="AB15" s="56">
        <f t="shared" si="1"/>
        <v>0</v>
      </c>
      <c r="AC15" s="50">
        <f t="shared" si="2"/>
        <v>0</v>
      </c>
      <c r="AD15" s="57">
        <f t="shared" si="3"/>
        <v>-82</v>
      </c>
      <c r="AG15" s="44"/>
      <c r="AH15" s="61" t="s">
        <v>110</v>
      </c>
      <c r="AI15" s="62">
        <f>IF(AI5="C",($AI$4*EXP(-$AI$9*$AI$11)*NORMSDIST(AI13))-($AI$7*EXP(-$AI$8*$AI$11)*NORMSDIST(AI14)),(-$AI$4*EXP(-$AI$9*$AI$11)*NORMSDIST(-AI13))-(-AI7*EXP(-$AI$8*$AI$11)*NORMSDIST(-AI14)))</f>
        <v>6.3300806275499184</v>
      </c>
      <c r="AJ15" s="62">
        <f>IF(AJ5="C",($AI$4*EXP(-$AI$9*$AI$11)*NORMSDIST(AJ13))-($AI$7*EXP(-$AI$8*$AI$11)*NORMSDIST(AJ14)),(-$AI$4*EXP(-$AI$9*$AI$11)*NORMSDIST(-AJ13))-(-AJ7*EXP(-$AI$8*$AI$11)*NORMSDIST(-AJ14)))</f>
        <v>9.2270055081540363</v>
      </c>
      <c r="AK15" s="62">
        <f>IF(AK5="C",($AI$4*EXP(-$AI$9*$AI$11)*NORMSDIST(AK13))-($AI$7*EXP(-$AI$8*$AI$11)*NORMSDIST(AK14)),(-$AI$4*EXP(-$AI$9*$AI$11)*NORMSDIST(-AK13))-(-AK7*EXP(-$AI$8*$AI$11)*NORMSDIST(-AK14)))</f>
        <v>6.3300806275499184</v>
      </c>
    </row>
    <row r="16" spans="1:37" x14ac:dyDescent="0.25">
      <c r="Z16" s="54">
        <f t="shared" si="4"/>
        <v>20</v>
      </c>
      <c r="AA16" s="55">
        <f t="shared" si="0"/>
        <v>-80</v>
      </c>
      <c r="AB16" s="56">
        <f t="shared" si="1"/>
        <v>0</v>
      </c>
      <c r="AC16" s="50">
        <f t="shared" si="2"/>
        <v>0</v>
      </c>
      <c r="AD16" s="57">
        <f t="shared" si="3"/>
        <v>-80</v>
      </c>
    </row>
    <row r="17" spans="26:33" x14ac:dyDescent="0.25">
      <c r="Z17" s="54">
        <f t="shared" si="4"/>
        <v>22</v>
      </c>
      <c r="AA17" s="55">
        <f t="shared" si="0"/>
        <v>-78</v>
      </c>
      <c r="AB17" s="56">
        <f t="shared" si="1"/>
        <v>0</v>
      </c>
      <c r="AC17" s="50">
        <f t="shared" si="2"/>
        <v>0</v>
      </c>
      <c r="AD17" s="57">
        <f t="shared" si="3"/>
        <v>-78</v>
      </c>
    </row>
    <row r="18" spans="26:33" x14ac:dyDescent="0.25">
      <c r="Z18" s="54">
        <f t="shared" si="4"/>
        <v>24</v>
      </c>
      <c r="AA18" s="55">
        <f t="shared" si="0"/>
        <v>-76</v>
      </c>
      <c r="AB18" s="56">
        <f t="shared" si="1"/>
        <v>0</v>
      </c>
      <c r="AC18" s="50">
        <f t="shared" si="2"/>
        <v>0</v>
      </c>
      <c r="AD18" s="57">
        <f t="shared" si="3"/>
        <v>-76</v>
      </c>
    </row>
    <row r="19" spans="26:33" x14ac:dyDescent="0.25">
      <c r="Z19" s="54">
        <f t="shared" si="4"/>
        <v>26</v>
      </c>
      <c r="AA19" s="55">
        <f t="shared" si="0"/>
        <v>-74</v>
      </c>
      <c r="AB19" s="56">
        <f t="shared" si="1"/>
        <v>0</v>
      </c>
      <c r="AC19" s="50">
        <f t="shared" si="2"/>
        <v>0</v>
      </c>
      <c r="AD19" s="57">
        <f t="shared" si="3"/>
        <v>-74</v>
      </c>
    </row>
    <row r="20" spans="26:33" x14ac:dyDescent="0.25">
      <c r="Z20" s="54">
        <f t="shared" si="4"/>
        <v>28</v>
      </c>
      <c r="AA20" s="55">
        <f t="shared" si="0"/>
        <v>-72</v>
      </c>
      <c r="AB20" s="56">
        <f t="shared" si="1"/>
        <v>0</v>
      </c>
      <c r="AC20" s="50">
        <f t="shared" si="2"/>
        <v>0</v>
      </c>
      <c r="AD20" s="57">
        <f t="shared" si="3"/>
        <v>-72</v>
      </c>
    </row>
    <row r="21" spans="26:33" x14ac:dyDescent="0.25">
      <c r="Z21" s="54">
        <f t="shared" si="4"/>
        <v>30</v>
      </c>
      <c r="AA21" s="55">
        <f t="shared" si="0"/>
        <v>-70</v>
      </c>
      <c r="AB21" s="56">
        <f t="shared" si="1"/>
        <v>0</v>
      </c>
      <c r="AC21" s="50">
        <f t="shared" si="2"/>
        <v>0</v>
      </c>
      <c r="AD21" s="57">
        <f t="shared" si="3"/>
        <v>-70</v>
      </c>
    </row>
    <row r="22" spans="26:33" x14ac:dyDescent="0.25">
      <c r="Z22" s="54">
        <f t="shared" si="4"/>
        <v>32</v>
      </c>
      <c r="AA22" s="55">
        <f t="shared" si="0"/>
        <v>-68</v>
      </c>
      <c r="AB22" s="56">
        <f t="shared" si="1"/>
        <v>0</v>
      </c>
      <c r="AC22" s="50">
        <f t="shared" si="2"/>
        <v>0</v>
      </c>
      <c r="AD22" s="57">
        <f t="shared" si="3"/>
        <v>-68</v>
      </c>
    </row>
    <row r="23" spans="26:33" x14ac:dyDescent="0.25">
      <c r="Z23" s="54">
        <f t="shared" si="4"/>
        <v>34</v>
      </c>
      <c r="AA23" s="55">
        <f t="shared" si="0"/>
        <v>-66</v>
      </c>
      <c r="AB23" s="56">
        <f t="shared" si="1"/>
        <v>0</v>
      </c>
      <c r="AC23" s="50">
        <f t="shared" si="2"/>
        <v>0</v>
      </c>
      <c r="AD23" s="57">
        <f t="shared" si="3"/>
        <v>-66</v>
      </c>
    </row>
    <row r="24" spans="26:33" x14ac:dyDescent="0.25">
      <c r="Z24" s="54">
        <f t="shared" si="4"/>
        <v>36</v>
      </c>
      <c r="AA24" s="55">
        <f t="shared" si="0"/>
        <v>-64</v>
      </c>
      <c r="AB24" s="56">
        <f t="shared" si="1"/>
        <v>0</v>
      </c>
      <c r="AC24" s="50">
        <f t="shared" si="2"/>
        <v>0</v>
      </c>
      <c r="AD24" s="57">
        <f t="shared" si="3"/>
        <v>-64</v>
      </c>
    </row>
    <row r="25" spans="26:33" x14ac:dyDescent="0.25">
      <c r="Z25" s="54">
        <f t="shared" si="4"/>
        <v>38</v>
      </c>
      <c r="AA25" s="55">
        <f t="shared" si="0"/>
        <v>-62</v>
      </c>
      <c r="AB25" s="56">
        <f t="shared" si="1"/>
        <v>0</v>
      </c>
      <c r="AC25" s="50">
        <f t="shared" si="2"/>
        <v>0</v>
      </c>
      <c r="AD25" s="57">
        <f t="shared" si="3"/>
        <v>-62</v>
      </c>
    </row>
    <row r="26" spans="26:33" x14ac:dyDescent="0.25">
      <c r="Z26" s="54">
        <f t="shared" si="4"/>
        <v>40</v>
      </c>
      <c r="AA26" s="55">
        <f t="shared" si="0"/>
        <v>-60</v>
      </c>
      <c r="AB26" s="56">
        <f t="shared" si="1"/>
        <v>0</v>
      </c>
      <c r="AC26" s="50">
        <f t="shared" si="2"/>
        <v>0</v>
      </c>
      <c r="AD26" s="57">
        <f t="shared" si="3"/>
        <v>-60</v>
      </c>
    </row>
    <row r="27" spans="26:33" x14ac:dyDescent="0.25">
      <c r="Z27" s="54">
        <f t="shared" si="4"/>
        <v>42</v>
      </c>
      <c r="AA27" s="55">
        <f t="shared" si="0"/>
        <v>-58</v>
      </c>
      <c r="AB27" s="56">
        <f t="shared" si="1"/>
        <v>0</v>
      </c>
      <c r="AC27" s="50">
        <f t="shared" si="2"/>
        <v>0</v>
      </c>
      <c r="AD27" s="57">
        <f t="shared" si="3"/>
        <v>-58</v>
      </c>
      <c r="AG27" s="63"/>
    </row>
    <row r="28" spans="26:33" x14ac:dyDescent="0.25">
      <c r="Z28" s="54">
        <f t="shared" si="4"/>
        <v>44</v>
      </c>
      <c r="AA28" s="55">
        <f t="shared" si="0"/>
        <v>-56</v>
      </c>
      <c r="AB28" s="56">
        <f t="shared" si="1"/>
        <v>0</v>
      </c>
      <c r="AC28" s="50">
        <f t="shared" si="2"/>
        <v>0</v>
      </c>
      <c r="AD28" s="57">
        <f t="shared" si="3"/>
        <v>-56</v>
      </c>
    </row>
    <row r="29" spans="26:33" x14ac:dyDescent="0.25">
      <c r="Z29" s="54">
        <f t="shared" si="4"/>
        <v>46</v>
      </c>
      <c r="AA29" s="55">
        <f t="shared" si="0"/>
        <v>-54</v>
      </c>
      <c r="AB29" s="56">
        <f t="shared" si="1"/>
        <v>0</v>
      </c>
      <c r="AC29" s="50">
        <f t="shared" si="2"/>
        <v>0</v>
      </c>
      <c r="AD29" s="57">
        <f t="shared" si="3"/>
        <v>-54</v>
      </c>
    </row>
    <row r="30" spans="26:33" x14ac:dyDescent="0.25">
      <c r="Z30" s="54">
        <f t="shared" si="4"/>
        <v>48</v>
      </c>
      <c r="AA30" s="55">
        <f t="shared" si="0"/>
        <v>-52</v>
      </c>
      <c r="AB30" s="56">
        <f t="shared" si="1"/>
        <v>0</v>
      </c>
      <c r="AC30" s="50">
        <f t="shared" si="2"/>
        <v>0</v>
      </c>
      <c r="AD30" s="57">
        <f t="shared" si="3"/>
        <v>-52</v>
      </c>
    </row>
    <row r="31" spans="26:33" x14ac:dyDescent="0.25">
      <c r="Z31" s="54">
        <f t="shared" si="4"/>
        <v>50</v>
      </c>
      <c r="AA31" s="55">
        <f t="shared" si="0"/>
        <v>-50</v>
      </c>
      <c r="AB31" s="56">
        <f t="shared" si="1"/>
        <v>0</v>
      </c>
      <c r="AC31" s="50">
        <f t="shared" si="2"/>
        <v>0</v>
      </c>
      <c r="AD31" s="57">
        <f t="shared" si="3"/>
        <v>-50</v>
      </c>
    </row>
    <row r="32" spans="26:33" x14ac:dyDescent="0.25">
      <c r="Z32" s="54">
        <f t="shared" si="4"/>
        <v>52</v>
      </c>
      <c r="AA32" s="55">
        <f t="shared" si="0"/>
        <v>-48</v>
      </c>
      <c r="AB32" s="56">
        <f t="shared" si="1"/>
        <v>0</v>
      </c>
      <c r="AC32" s="50">
        <f t="shared" si="2"/>
        <v>0</v>
      </c>
      <c r="AD32" s="57">
        <f t="shared" si="3"/>
        <v>-48</v>
      </c>
    </row>
    <row r="33" spans="26:30" x14ac:dyDescent="0.25">
      <c r="Z33" s="54">
        <f t="shared" si="4"/>
        <v>54</v>
      </c>
      <c r="AA33" s="55">
        <f t="shared" si="0"/>
        <v>-46</v>
      </c>
      <c r="AB33" s="56">
        <f t="shared" si="1"/>
        <v>0</v>
      </c>
      <c r="AC33" s="50">
        <f t="shared" si="2"/>
        <v>0</v>
      </c>
      <c r="AD33" s="57">
        <f t="shared" si="3"/>
        <v>-46</v>
      </c>
    </row>
    <row r="34" spans="26:30" x14ac:dyDescent="0.25">
      <c r="Z34" s="54">
        <f t="shared" si="4"/>
        <v>56</v>
      </c>
      <c r="AA34" s="55">
        <f t="shared" si="0"/>
        <v>-44</v>
      </c>
      <c r="AB34" s="56">
        <f t="shared" si="1"/>
        <v>0</v>
      </c>
      <c r="AC34" s="50">
        <f t="shared" si="2"/>
        <v>0</v>
      </c>
      <c r="AD34" s="57">
        <f t="shared" si="3"/>
        <v>-44</v>
      </c>
    </row>
    <row r="35" spans="26:30" x14ac:dyDescent="0.25">
      <c r="Z35" s="54">
        <f t="shared" si="4"/>
        <v>58</v>
      </c>
      <c r="AA35" s="55">
        <f t="shared" si="0"/>
        <v>-42</v>
      </c>
      <c r="AB35" s="56">
        <f t="shared" si="1"/>
        <v>0</v>
      </c>
      <c r="AC35" s="50">
        <f t="shared" si="2"/>
        <v>0</v>
      </c>
      <c r="AD35" s="57">
        <f t="shared" si="3"/>
        <v>-42</v>
      </c>
    </row>
    <row r="36" spans="26:30" x14ac:dyDescent="0.25">
      <c r="Z36" s="54">
        <f t="shared" si="4"/>
        <v>60</v>
      </c>
      <c r="AA36" s="55">
        <f t="shared" si="0"/>
        <v>-40</v>
      </c>
      <c r="AB36" s="56">
        <f t="shared" si="1"/>
        <v>0</v>
      </c>
      <c r="AC36" s="50">
        <f t="shared" si="2"/>
        <v>0</v>
      </c>
      <c r="AD36" s="57">
        <f t="shared" si="3"/>
        <v>-40</v>
      </c>
    </row>
    <row r="37" spans="26:30" x14ac:dyDescent="0.25">
      <c r="Z37" s="54">
        <f t="shared" si="4"/>
        <v>62</v>
      </c>
      <c r="AA37" s="55">
        <f t="shared" si="0"/>
        <v>-38</v>
      </c>
      <c r="AB37" s="56">
        <f t="shared" si="1"/>
        <v>0</v>
      </c>
      <c r="AC37" s="50">
        <f t="shared" si="2"/>
        <v>0</v>
      </c>
      <c r="AD37" s="57">
        <f t="shared" si="3"/>
        <v>-38</v>
      </c>
    </row>
    <row r="38" spans="26:30" x14ac:dyDescent="0.25">
      <c r="Z38" s="54">
        <f t="shared" si="4"/>
        <v>64</v>
      </c>
      <c r="AA38" s="55">
        <f t="shared" si="0"/>
        <v>-36</v>
      </c>
      <c r="AB38" s="56">
        <f t="shared" si="1"/>
        <v>0</v>
      </c>
      <c r="AC38" s="50">
        <f t="shared" si="2"/>
        <v>0</v>
      </c>
      <c r="AD38" s="57">
        <f t="shared" si="3"/>
        <v>-36</v>
      </c>
    </row>
    <row r="39" spans="26:30" x14ac:dyDescent="0.25">
      <c r="Z39" s="54">
        <f t="shared" si="4"/>
        <v>66</v>
      </c>
      <c r="AA39" s="55">
        <f t="shared" si="0"/>
        <v>-34</v>
      </c>
      <c r="AB39" s="56">
        <f t="shared" si="1"/>
        <v>0</v>
      </c>
      <c r="AC39" s="50">
        <f t="shared" si="2"/>
        <v>0</v>
      </c>
      <c r="AD39" s="57">
        <f t="shared" si="3"/>
        <v>-34</v>
      </c>
    </row>
    <row r="40" spans="26:30" x14ac:dyDescent="0.25">
      <c r="Z40" s="54">
        <f t="shared" si="4"/>
        <v>68</v>
      </c>
      <c r="AA40" s="55">
        <f t="shared" si="0"/>
        <v>-32</v>
      </c>
      <c r="AB40" s="56">
        <f t="shared" si="1"/>
        <v>0</v>
      </c>
      <c r="AC40" s="50">
        <f t="shared" si="2"/>
        <v>0</v>
      </c>
      <c r="AD40" s="57">
        <f t="shared" si="3"/>
        <v>-32</v>
      </c>
    </row>
    <row r="41" spans="26:30" x14ac:dyDescent="0.25">
      <c r="Z41" s="54">
        <f t="shared" si="4"/>
        <v>70</v>
      </c>
      <c r="AA41" s="55">
        <f t="shared" si="0"/>
        <v>-30</v>
      </c>
      <c r="AB41" s="56">
        <f t="shared" si="1"/>
        <v>0</v>
      </c>
      <c r="AC41" s="50">
        <f t="shared" si="2"/>
        <v>0</v>
      </c>
      <c r="AD41" s="57">
        <f t="shared" si="3"/>
        <v>-30</v>
      </c>
    </row>
    <row r="42" spans="26:30" x14ac:dyDescent="0.25">
      <c r="Z42" s="54">
        <f t="shared" si="4"/>
        <v>72</v>
      </c>
      <c r="AA42" s="55">
        <f t="shared" si="0"/>
        <v>-28</v>
      </c>
      <c r="AB42" s="56">
        <f t="shared" si="1"/>
        <v>0</v>
      </c>
      <c r="AC42" s="50">
        <f t="shared" si="2"/>
        <v>0</v>
      </c>
      <c r="AD42" s="57">
        <f t="shared" si="3"/>
        <v>-28</v>
      </c>
    </row>
    <row r="43" spans="26:30" x14ac:dyDescent="0.25">
      <c r="Z43" s="54">
        <f t="shared" si="4"/>
        <v>74</v>
      </c>
      <c r="AA43" s="55">
        <f t="shared" si="0"/>
        <v>-26</v>
      </c>
      <c r="AB43" s="56">
        <f t="shared" si="1"/>
        <v>0</v>
      </c>
      <c r="AC43" s="50">
        <f t="shared" si="2"/>
        <v>0</v>
      </c>
      <c r="AD43" s="57">
        <f t="shared" si="3"/>
        <v>-26</v>
      </c>
    </row>
    <row r="44" spans="26:30" x14ac:dyDescent="0.25">
      <c r="Z44" s="54">
        <f t="shared" si="4"/>
        <v>76</v>
      </c>
      <c r="AA44" s="55">
        <f t="shared" si="0"/>
        <v>-24</v>
      </c>
      <c r="AB44" s="56">
        <f t="shared" si="1"/>
        <v>0</v>
      </c>
      <c r="AC44" s="50">
        <f t="shared" si="2"/>
        <v>0</v>
      </c>
      <c r="AD44" s="57">
        <f t="shared" si="3"/>
        <v>-24</v>
      </c>
    </row>
    <row r="45" spans="26:30" x14ac:dyDescent="0.25">
      <c r="Z45" s="54">
        <f t="shared" si="4"/>
        <v>78</v>
      </c>
      <c r="AA45" s="55">
        <f t="shared" si="0"/>
        <v>-22</v>
      </c>
      <c r="AB45" s="56">
        <f t="shared" si="1"/>
        <v>0</v>
      </c>
      <c r="AC45" s="50">
        <f t="shared" si="2"/>
        <v>0</v>
      </c>
      <c r="AD45" s="57">
        <f t="shared" si="3"/>
        <v>-22</v>
      </c>
    </row>
    <row r="46" spans="26:30" x14ac:dyDescent="0.25">
      <c r="Z46" s="54">
        <f t="shared" si="4"/>
        <v>80</v>
      </c>
      <c r="AA46" s="55">
        <f t="shared" si="0"/>
        <v>-20</v>
      </c>
      <c r="AB46" s="56">
        <f t="shared" si="1"/>
        <v>0</v>
      </c>
      <c r="AC46" s="50">
        <f t="shared" si="2"/>
        <v>0</v>
      </c>
      <c r="AD46" s="57">
        <f t="shared" si="3"/>
        <v>-20</v>
      </c>
    </row>
    <row r="47" spans="26:30" x14ac:dyDescent="0.25">
      <c r="Z47" s="54">
        <f t="shared" si="4"/>
        <v>82</v>
      </c>
      <c r="AA47" s="55">
        <f t="shared" si="0"/>
        <v>-18</v>
      </c>
      <c r="AB47" s="56">
        <f t="shared" si="1"/>
        <v>0</v>
      </c>
      <c r="AC47" s="50">
        <f t="shared" si="2"/>
        <v>0</v>
      </c>
      <c r="AD47" s="57">
        <f t="shared" si="3"/>
        <v>-18</v>
      </c>
    </row>
    <row r="48" spans="26:30" x14ac:dyDescent="0.25">
      <c r="Z48" s="54">
        <f t="shared" si="4"/>
        <v>84</v>
      </c>
      <c r="AA48" s="55">
        <f t="shared" si="0"/>
        <v>-16</v>
      </c>
      <c r="AB48" s="56">
        <f t="shared" si="1"/>
        <v>0</v>
      </c>
      <c r="AC48" s="50">
        <f t="shared" si="2"/>
        <v>0</v>
      </c>
      <c r="AD48" s="57">
        <f t="shared" si="3"/>
        <v>-16</v>
      </c>
    </row>
    <row r="49" spans="26:30" x14ac:dyDescent="0.25">
      <c r="Z49" s="54">
        <f t="shared" si="4"/>
        <v>86</v>
      </c>
      <c r="AA49" s="55">
        <f t="shared" si="0"/>
        <v>-14</v>
      </c>
      <c r="AB49" s="56">
        <f t="shared" si="1"/>
        <v>0</v>
      </c>
      <c r="AC49" s="50">
        <f t="shared" si="2"/>
        <v>0</v>
      </c>
      <c r="AD49" s="57">
        <f t="shared" si="3"/>
        <v>-14</v>
      </c>
    </row>
    <row r="50" spans="26:30" x14ac:dyDescent="0.25">
      <c r="Z50" s="54">
        <f t="shared" si="4"/>
        <v>88</v>
      </c>
      <c r="AA50" s="55">
        <f t="shared" si="0"/>
        <v>-12</v>
      </c>
      <c r="AB50" s="56">
        <f t="shared" si="1"/>
        <v>0</v>
      </c>
      <c r="AC50" s="50">
        <f t="shared" si="2"/>
        <v>0</v>
      </c>
      <c r="AD50" s="57">
        <f t="shared" si="3"/>
        <v>-12</v>
      </c>
    </row>
    <row r="51" spans="26:30" x14ac:dyDescent="0.25">
      <c r="Z51" s="54">
        <f t="shared" si="4"/>
        <v>90</v>
      </c>
      <c r="AA51" s="55">
        <f t="shared" si="0"/>
        <v>-10</v>
      </c>
      <c r="AB51" s="56">
        <f t="shared" si="1"/>
        <v>0</v>
      </c>
      <c r="AC51" s="50">
        <f t="shared" si="2"/>
        <v>0</v>
      </c>
      <c r="AD51" s="57">
        <f t="shared" si="3"/>
        <v>-10</v>
      </c>
    </row>
    <row r="52" spans="26:30" x14ac:dyDescent="0.25">
      <c r="Z52" s="54">
        <f t="shared" si="4"/>
        <v>92</v>
      </c>
      <c r="AA52" s="55">
        <f t="shared" si="0"/>
        <v>-8</v>
      </c>
      <c r="AB52" s="56">
        <f t="shared" si="1"/>
        <v>0</v>
      </c>
      <c r="AC52" s="50">
        <f t="shared" si="2"/>
        <v>0</v>
      </c>
      <c r="AD52" s="57">
        <f t="shared" si="3"/>
        <v>-8</v>
      </c>
    </row>
    <row r="53" spans="26:30" x14ac:dyDescent="0.25">
      <c r="Z53" s="54">
        <f t="shared" si="4"/>
        <v>94</v>
      </c>
      <c r="AA53" s="55">
        <f t="shared" si="0"/>
        <v>-6</v>
      </c>
      <c r="AB53" s="56">
        <f t="shared" si="1"/>
        <v>0</v>
      </c>
      <c r="AC53" s="50">
        <f t="shared" si="2"/>
        <v>0</v>
      </c>
      <c r="AD53" s="57">
        <f t="shared" si="3"/>
        <v>-6</v>
      </c>
    </row>
    <row r="54" spans="26:30" x14ac:dyDescent="0.25">
      <c r="Z54" s="54">
        <f t="shared" si="4"/>
        <v>96</v>
      </c>
      <c r="AA54" s="55">
        <f t="shared" si="0"/>
        <v>-4</v>
      </c>
      <c r="AB54" s="56">
        <f t="shared" si="1"/>
        <v>0</v>
      </c>
      <c r="AC54" s="50">
        <f t="shared" si="2"/>
        <v>0</v>
      </c>
      <c r="AD54" s="57">
        <f t="shared" si="3"/>
        <v>-4</v>
      </c>
    </row>
    <row r="55" spans="26:30" x14ac:dyDescent="0.25">
      <c r="Z55" s="54">
        <f t="shared" si="4"/>
        <v>98</v>
      </c>
      <c r="AA55" s="55">
        <f t="shared" si="0"/>
        <v>-2</v>
      </c>
      <c r="AB55" s="56">
        <f t="shared" si="1"/>
        <v>0</v>
      </c>
      <c r="AC55" s="50">
        <f t="shared" si="2"/>
        <v>0</v>
      </c>
      <c r="AD55" s="57">
        <f t="shared" si="3"/>
        <v>-2</v>
      </c>
    </row>
    <row r="56" spans="26:30" x14ac:dyDescent="0.25">
      <c r="Z56" s="54">
        <f t="shared" si="4"/>
        <v>100</v>
      </c>
      <c r="AA56" s="55">
        <f t="shared" si="0"/>
        <v>0</v>
      </c>
      <c r="AB56" s="56">
        <f t="shared" si="1"/>
        <v>0</v>
      </c>
      <c r="AC56" s="50">
        <f t="shared" si="2"/>
        <v>0</v>
      </c>
      <c r="AD56" s="57">
        <f t="shared" si="3"/>
        <v>0</v>
      </c>
    </row>
    <row r="57" spans="26:30" x14ac:dyDescent="0.25">
      <c r="Z57" s="54">
        <f t="shared" si="4"/>
        <v>102</v>
      </c>
      <c r="AA57" s="55">
        <f t="shared" si="0"/>
        <v>0</v>
      </c>
      <c r="AB57" s="56">
        <f t="shared" si="1"/>
        <v>2</v>
      </c>
      <c r="AC57" s="50">
        <f t="shared" si="2"/>
        <v>0</v>
      </c>
      <c r="AD57" s="57">
        <f t="shared" si="3"/>
        <v>2</v>
      </c>
    </row>
    <row r="58" spans="26:30" x14ac:dyDescent="0.25">
      <c r="Z58" s="54">
        <f t="shared" si="4"/>
        <v>104</v>
      </c>
      <c r="AA58" s="55">
        <f t="shared" si="0"/>
        <v>0</v>
      </c>
      <c r="AB58" s="56">
        <f t="shared" si="1"/>
        <v>4</v>
      </c>
      <c r="AC58" s="50">
        <f t="shared" si="2"/>
        <v>0</v>
      </c>
      <c r="AD58" s="57">
        <f t="shared" si="3"/>
        <v>4</v>
      </c>
    </row>
    <row r="59" spans="26:30" x14ac:dyDescent="0.25">
      <c r="Z59" s="54">
        <f t="shared" si="4"/>
        <v>106</v>
      </c>
      <c r="AA59" s="55">
        <f t="shared" si="0"/>
        <v>0</v>
      </c>
      <c r="AB59" s="56">
        <f t="shared" si="1"/>
        <v>6</v>
      </c>
      <c r="AC59" s="50">
        <f t="shared" si="2"/>
        <v>0</v>
      </c>
      <c r="AD59" s="57">
        <f t="shared" si="3"/>
        <v>6</v>
      </c>
    </row>
    <row r="60" spans="26:30" x14ac:dyDescent="0.25">
      <c r="Z60" s="54">
        <f t="shared" si="4"/>
        <v>108</v>
      </c>
      <c r="AA60" s="55">
        <f t="shared" si="0"/>
        <v>0</v>
      </c>
      <c r="AB60" s="56">
        <f t="shared" si="1"/>
        <v>8</v>
      </c>
      <c r="AC60" s="50">
        <f t="shared" si="2"/>
        <v>0</v>
      </c>
      <c r="AD60" s="57">
        <f t="shared" si="3"/>
        <v>8</v>
      </c>
    </row>
    <row r="61" spans="26:30" x14ac:dyDescent="0.25">
      <c r="Z61" s="54">
        <f t="shared" si="4"/>
        <v>110</v>
      </c>
      <c r="AA61" s="55">
        <f t="shared" si="0"/>
        <v>0</v>
      </c>
      <c r="AB61" s="56">
        <f t="shared" si="1"/>
        <v>10</v>
      </c>
      <c r="AC61" s="50">
        <f t="shared" si="2"/>
        <v>0</v>
      </c>
      <c r="AD61" s="57">
        <f t="shared" si="3"/>
        <v>10</v>
      </c>
    </row>
    <row r="62" spans="26:30" x14ac:dyDescent="0.25">
      <c r="Z62" s="54">
        <f t="shared" si="4"/>
        <v>112</v>
      </c>
      <c r="AA62" s="55">
        <f t="shared" si="0"/>
        <v>0</v>
      </c>
      <c r="AB62" s="56">
        <f t="shared" si="1"/>
        <v>12</v>
      </c>
      <c r="AC62" s="50">
        <f t="shared" si="2"/>
        <v>0</v>
      </c>
      <c r="AD62" s="57">
        <f t="shared" si="3"/>
        <v>12</v>
      </c>
    </row>
    <row r="63" spans="26:30" x14ac:dyDescent="0.25">
      <c r="Z63" s="54">
        <f t="shared" si="4"/>
        <v>114</v>
      </c>
      <c r="AA63" s="55">
        <f t="shared" si="0"/>
        <v>0</v>
      </c>
      <c r="AB63" s="56">
        <f t="shared" si="1"/>
        <v>14</v>
      </c>
      <c r="AC63" s="50">
        <f t="shared" si="2"/>
        <v>0</v>
      </c>
      <c r="AD63" s="57">
        <f t="shared" si="3"/>
        <v>14</v>
      </c>
    </row>
    <row r="64" spans="26:30" x14ac:dyDescent="0.25">
      <c r="Z64" s="54">
        <f t="shared" si="4"/>
        <v>116</v>
      </c>
      <c r="AA64" s="55">
        <f t="shared" si="0"/>
        <v>0</v>
      </c>
      <c r="AB64" s="56">
        <f t="shared" si="1"/>
        <v>16</v>
      </c>
      <c r="AC64" s="50">
        <f t="shared" si="2"/>
        <v>0</v>
      </c>
      <c r="AD64" s="57">
        <f t="shared" si="3"/>
        <v>16</v>
      </c>
    </row>
    <row r="65" spans="26:30" x14ac:dyDescent="0.25">
      <c r="Z65" s="54">
        <f t="shared" si="4"/>
        <v>118</v>
      </c>
      <c r="AA65" s="55">
        <f t="shared" si="0"/>
        <v>0</v>
      </c>
      <c r="AB65" s="56">
        <f t="shared" si="1"/>
        <v>18</v>
      </c>
      <c r="AC65" s="50">
        <f t="shared" si="2"/>
        <v>0</v>
      </c>
      <c r="AD65" s="57">
        <f t="shared" si="3"/>
        <v>18</v>
      </c>
    </row>
    <row r="66" spans="26:30" x14ac:dyDescent="0.25">
      <c r="Z66" s="54">
        <f t="shared" si="4"/>
        <v>120</v>
      </c>
      <c r="AA66" s="55">
        <f t="shared" si="0"/>
        <v>0</v>
      </c>
      <c r="AB66" s="56">
        <f t="shared" si="1"/>
        <v>20</v>
      </c>
      <c r="AC66" s="50">
        <f t="shared" si="2"/>
        <v>0</v>
      </c>
      <c r="AD66" s="57">
        <f t="shared" si="3"/>
        <v>20</v>
      </c>
    </row>
    <row r="67" spans="26:30" x14ac:dyDescent="0.25">
      <c r="Z67" s="54">
        <f t="shared" si="4"/>
        <v>122</v>
      </c>
      <c r="AA67" s="55">
        <f t="shared" si="0"/>
        <v>0</v>
      </c>
      <c r="AB67" s="56">
        <f t="shared" si="1"/>
        <v>22</v>
      </c>
      <c r="AC67" s="50">
        <f t="shared" si="2"/>
        <v>0</v>
      </c>
      <c r="AD67" s="57">
        <f t="shared" si="3"/>
        <v>22</v>
      </c>
    </row>
    <row r="68" spans="26:30" x14ac:dyDescent="0.25">
      <c r="Z68" s="54">
        <f t="shared" si="4"/>
        <v>124</v>
      </c>
      <c r="AA68" s="55">
        <f t="shared" si="0"/>
        <v>0</v>
      </c>
      <c r="AB68" s="56">
        <f t="shared" si="1"/>
        <v>24</v>
      </c>
      <c r="AC68" s="50">
        <f t="shared" si="2"/>
        <v>0</v>
      </c>
      <c r="AD68" s="57">
        <f t="shared" si="3"/>
        <v>24</v>
      </c>
    </row>
    <row r="69" spans="26:30" x14ac:dyDescent="0.25">
      <c r="Z69" s="54">
        <f t="shared" si="4"/>
        <v>126</v>
      </c>
      <c r="AA69" s="55">
        <f t="shared" si="0"/>
        <v>0</v>
      </c>
      <c r="AB69" s="56">
        <f t="shared" si="1"/>
        <v>26</v>
      </c>
      <c r="AC69" s="50">
        <f t="shared" si="2"/>
        <v>0</v>
      </c>
      <c r="AD69" s="57">
        <f t="shared" si="3"/>
        <v>26</v>
      </c>
    </row>
    <row r="70" spans="26:30" x14ac:dyDescent="0.25">
      <c r="Z70" s="54">
        <f t="shared" si="4"/>
        <v>128</v>
      </c>
      <c r="AA70" s="55">
        <f t="shared" ref="AA70:AA106" si="5">(MAX(IF($AA$3="C",1,-1)*(Z70-$AI$7),0)-IF($AI$12="Y",$AI$15,0))*$AI$6</f>
        <v>0</v>
      </c>
      <c r="AB70" s="56">
        <f t="shared" ref="AB70:AB106" si="6">(MAX(IF($AB$3="C",1,-1)*(Z70-$AJ$7),0)-IF($AI$12="Y",$AJ$15,0))*$AJ$6</f>
        <v>28</v>
      </c>
      <c r="AC70" s="50">
        <f t="shared" ref="AC70:AC106" si="7">(Z70-$AK$7)*$AK$6</f>
        <v>0</v>
      </c>
      <c r="AD70" s="57">
        <f t="shared" ref="AD70:AD101" si="8">SUM(AA70:AC70)*IF($E$6="Y",1,0)</f>
        <v>28</v>
      </c>
    </row>
    <row r="71" spans="26:30" x14ac:dyDescent="0.25">
      <c r="Z71" s="54">
        <f t="shared" ref="Z71:Z106" si="9">Z70+2</f>
        <v>130</v>
      </c>
      <c r="AA71" s="55">
        <f t="shared" si="5"/>
        <v>0</v>
      </c>
      <c r="AB71" s="56">
        <f t="shared" si="6"/>
        <v>30</v>
      </c>
      <c r="AC71" s="50">
        <f t="shared" si="7"/>
        <v>0</v>
      </c>
      <c r="AD71" s="57">
        <f t="shared" si="8"/>
        <v>30</v>
      </c>
    </row>
    <row r="72" spans="26:30" x14ac:dyDescent="0.25">
      <c r="Z72" s="54">
        <f t="shared" si="9"/>
        <v>132</v>
      </c>
      <c r="AA72" s="55">
        <f t="shared" si="5"/>
        <v>0</v>
      </c>
      <c r="AB72" s="56">
        <f t="shared" si="6"/>
        <v>32</v>
      </c>
      <c r="AC72" s="50">
        <f t="shared" si="7"/>
        <v>0</v>
      </c>
      <c r="AD72" s="57">
        <f t="shared" si="8"/>
        <v>32</v>
      </c>
    </row>
    <row r="73" spans="26:30" x14ac:dyDescent="0.25">
      <c r="Z73" s="54">
        <f t="shared" si="9"/>
        <v>134</v>
      </c>
      <c r="AA73" s="55">
        <f t="shared" si="5"/>
        <v>0</v>
      </c>
      <c r="AB73" s="56">
        <f t="shared" si="6"/>
        <v>34</v>
      </c>
      <c r="AC73" s="50">
        <f t="shared" si="7"/>
        <v>0</v>
      </c>
      <c r="AD73" s="57">
        <f t="shared" si="8"/>
        <v>34</v>
      </c>
    </row>
    <row r="74" spans="26:30" x14ac:dyDescent="0.25">
      <c r="Z74" s="54">
        <f t="shared" si="9"/>
        <v>136</v>
      </c>
      <c r="AA74" s="55">
        <f t="shared" si="5"/>
        <v>0</v>
      </c>
      <c r="AB74" s="56">
        <f t="shared" si="6"/>
        <v>36</v>
      </c>
      <c r="AC74" s="50">
        <f t="shared" si="7"/>
        <v>0</v>
      </c>
      <c r="AD74" s="57">
        <f t="shared" si="8"/>
        <v>36</v>
      </c>
    </row>
    <row r="75" spans="26:30" x14ac:dyDescent="0.25">
      <c r="Z75" s="54">
        <f t="shared" si="9"/>
        <v>138</v>
      </c>
      <c r="AA75" s="55">
        <f t="shared" si="5"/>
        <v>0</v>
      </c>
      <c r="AB75" s="56">
        <f t="shared" si="6"/>
        <v>38</v>
      </c>
      <c r="AC75" s="50">
        <f t="shared" si="7"/>
        <v>0</v>
      </c>
      <c r="AD75" s="57">
        <f t="shared" si="8"/>
        <v>38</v>
      </c>
    </row>
    <row r="76" spans="26:30" x14ac:dyDescent="0.25">
      <c r="Z76" s="54">
        <f t="shared" si="9"/>
        <v>140</v>
      </c>
      <c r="AA76" s="55">
        <f t="shared" si="5"/>
        <v>0</v>
      </c>
      <c r="AB76" s="56">
        <f t="shared" si="6"/>
        <v>40</v>
      </c>
      <c r="AC76" s="50">
        <f t="shared" si="7"/>
        <v>0</v>
      </c>
      <c r="AD76" s="57">
        <f t="shared" si="8"/>
        <v>40</v>
      </c>
    </row>
    <row r="77" spans="26:30" x14ac:dyDescent="0.25">
      <c r="Z77" s="54">
        <f t="shared" si="9"/>
        <v>142</v>
      </c>
      <c r="AA77" s="55">
        <f t="shared" si="5"/>
        <v>0</v>
      </c>
      <c r="AB77" s="56">
        <f t="shared" si="6"/>
        <v>42</v>
      </c>
      <c r="AC77" s="50">
        <f t="shared" si="7"/>
        <v>0</v>
      </c>
      <c r="AD77" s="57">
        <f t="shared" si="8"/>
        <v>42</v>
      </c>
    </row>
    <row r="78" spans="26:30" x14ac:dyDescent="0.25">
      <c r="Z78" s="54">
        <f t="shared" si="9"/>
        <v>144</v>
      </c>
      <c r="AA78" s="55">
        <f t="shared" si="5"/>
        <v>0</v>
      </c>
      <c r="AB78" s="56">
        <f t="shared" si="6"/>
        <v>44</v>
      </c>
      <c r="AC78" s="50">
        <f t="shared" si="7"/>
        <v>0</v>
      </c>
      <c r="AD78" s="57">
        <f t="shared" si="8"/>
        <v>44</v>
      </c>
    </row>
    <row r="79" spans="26:30" x14ac:dyDescent="0.25">
      <c r="Z79" s="54">
        <f t="shared" si="9"/>
        <v>146</v>
      </c>
      <c r="AA79" s="55">
        <f t="shared" si="5"/>
        <v>0</v>
      </c>
      <c r="AB79" s="56">
        <f t="shared" si="6"/>
        <v>46</v>
      </c>
      <c r="AC79" s="50">
        <f t="shared" si="7"/>
        <v>0</v>
      </c>
      <c r="AD79" s="57">
        <f t="shared" si="8"/>
        <v>46</v>
      </c>
    </row>
    <row r="80" spans="26:30" x14ac:dyDescent="0.25">
      <c r="Z80" s="54">
        <f t="shared" si="9"/>
        <v>148</v>
      </c>
      <c r="AA80" s="55">
        <f t="shared" si="5"/>
        <v>0</v>
      </c>
      <c r="AB80" s="56">
        <f t="shared" si="6"/>
        <v>48</v>
      </c>
      <c r="AC80" s="50">
        <f t="shared" si="7"/>
        <v>0</v>
      </c>
      <c r="AD80" s="57">
        <f t="shared" si="8"/>
        <v>48</v>
      </c>
    </row>
    <row r="81" spans="26:30" x14ac:dyDescent="0.25">
      <c r="Z81" s="54">
        <f t="shared" si="9"/>
        <v>150</v>
      </c>
      <c r="AA81" s="55">
        <f t="shared" si="5"/>
        <v>0</v>
      </c>
      <c r="AB81" s="56">
        <f t="shared" si="6"/>
        <v>50</v>
      </c>
      <c r="AC81" s="50">
        <f t="shared" si="7"/>
        <v>0</v>
      </c>
      <c r="AD81" s="57">
        <f t="shared" si="8"/>
        <v>50</v>
      </c>
    </row>
    <row r="82" spans="26:30" x14ac:dyDescent="0.25">
      <c r="Z82" s="54">
        <f t="shared" si="9"/>
        <v>152</v>
      </c>
      <c r="AA82" s="55">
        <f t="shared" si="5"/>
        <v>0</v>
      </c>
      <c r="AB82" s="56">
        <f t="shared" si="6"/>
        <v>52</v>
      </c>
      <c r="AC82" s="50">
        <f t="shared" si="7"/>
        <v>0</v>
      </c>
      <c r="AD82" s="57">
        <f t="shared" si="8"/>
        <v>52</v>
      </c>
    </row>
    <row r="83" spans="26:30" x14ac:dyDescent="0.25">
      <c r="Z83" s="54">
        <f t="shared" si="9"/>
        <v>154</v>
      </c>
      <c r="AA83" s="55">
        <f t="shared" si="5"/>
        <v>0</v>
      </c>
      <c r="AB83" s="56">
        <f t="shared" si="6"/>
        <v>54</v>
      </c>
      <c r="AC83" s="50">
        <f t="shared" si="7"/>
        <v>0</v>
      </c>
      <c r="AD83" s="57">
        <f t="shared" si="8"/>
        <v>54</v>
      </c>
    </row>
    <row r="84" spans="26:30" x14ac:dyDescent="0.25">
      <c r="Z84" s="54">
        <f t="shared" si="9"/>
        <v>156</v>
      </c>
      <c r="AA84" s="55">
        <f t="shared" si="5"/>
        <v>0</v>
      </c>
      <c r="AB84" s="56">
        <f t="shared" si="6"/>
        <v>56</v>
      </c>
      <c r="AC84" s="50">
        <f t="shared" si="7"/>
        <v>0</v>
      </c>
      <c r="AD84" s="57">
        <f t="shared" si="8"/>
        <v>56</v>
      </c>
    </row>
    <row r="85" spans="26:30" x14ac:dyDescent="0.25">
      <c r="Z85" s="54">
        <f t="shared" si="9"/>
        <v>158</v>
      </c>
      <c r="AA85" s="55">
        <f t="shared" si="5"/>
        <v>0</v>
      </c>
      <c r="AB85" s="56">
        <f t="shared" si="6"/>
        <v>58</v>
      </c>
      <c r="AC85" s="50">
        <f t="shared" si="7"/>
        <v>0</v>
      </c>
      <c r="AD85" s="57">
        <f t="shared" si="8"/>
        <v>58</v>
      </c>
    </row>
    <row r="86" spans="26:30" x14ac:dyDescent="0.25">
      <c r="Z86" s="54">
        <f t="shared" si="9"/>
        <v>160</v>
      </c>
      <c r="AA86" s="55">
        <f t="shared" si="5"/>
        <v>0</v>
      </c>
      <c r="AB86" s="56">
        <f t="shared" si="6"/>
        <v>60</v>
      </c>
      <c r="AC86" s="50">
        <f t="shared" si="7"/>
        <v>0</v>
      </c>
      <c r="AD86" s="57">
        <f t="shared" si="8"/>
        <v>60</v>
      </c>
    </row>
    <row r="87" spans="26:30" x14ac:dyDescent="0.25">
      <c r="Z87" s="54">
        <f t="shared" si="9"/>
        <v>162</v>
      </c>
      <c r="AA87" s="55">
        <f t="shared" si="5"/>
        <v>0</v>
      </c>
      <c r="AB87" s="56">
        <f t="shared" si="6"/>
        <v>62</v>
      </c>
      <c r="AC87" s="50">
        <f t="shared" si="7"/>
        <v>0</v>
      </c>
      <c r="AD87" s="57">
        <f t="shared" si="8"/>
        <v>62</v>
      </c>
    </row>
    <row r="88" spans="26:30" x14ac:dyDescent="0.25">
      <c r="Z88" s="54">
        <f t="shared" si="9"/>
        <v>164</v>
      </c>
      <c r="AA88" s="55">
        <f t="shared" si="5"/>
        <v>0</v>
      </c>
      <c r="AB88" s="56">
        <f t="shared" si="6"/>
        <v>64</v>
      </c>
      <c r="AC88" s="50">
        <f t="shared" si="7"/>
        <v>0</v>
      </c>
      <c r="AD88" s="57">
        <f t="shared" si="8"/>
        <v>64</v>
      </c>
    </row>
    <row r="89" spans="26:30" x14ac:dyDescent="0.25">
      <c r="Z89" s="54">
        <f t="shared" si="9"/>
        <v>166</v>
      </c>
      <c r="AA89" s="55">
        <f t="shared" si="5"/>
        <v>0</v>
      </c>
      <c r="AB89" s="56">
        <f t="shared" si="6"/>
        <v>66</v>
      </c>
      <c r="AC89" s="50">
        <f t="shared" si="7"/>
        <v>0</v>
      </c>
      <c r="AD89" s="57">
        <f t="shared" si="8"/>
        <v>66</v>
      </c>
    </row>
    <row r="90" spans="26:30" x14ac:dyDescent="0.25">
      <c r="Z90" s="54">
        <f t="shared" si="9"/>
        <v>168</v>
      </c>
      <c r="AA90" s="55">
        <f t="shared" si="5"/>
        <v>0</v>
      </c>
      <c r="AB90" s="56">
        <f t="shared" si="6"/>
        <v>68</v>
      </c>
      <c r="AC90" s="50">
        <f t="shared" si="7"/>
        <v>0</v>
      </c>
      <c r="AD90" s="57">
        <f t="shared" si="8"/>
        <v>68</v>
      </c>
    </row>
    <row r="91" spans="26:30" x14ac:dyDescent="0.25">
      <c r="Z91" s="54">
        <f t="shared" si="9"/>
        <v>170</v>
      </c>
      <c r="AA91" s="55">
        <f t="shared" si="5"/>
        <v>0</v>
      </c>
      <c r="AB91" s="56">
        <f t="shared" si="6"/>
        <v>70</v>
      </c>
      <c r="AC91" s="50">
        <f t="shared" si="7"/>
        <v>0</v>
      </c>
      <c r="AD91" s="57">
        <f t="shared" si="8"/>
        <v>70</v>
      </c>
    </row>
    <row r="92" spans="26:30" x14ac:dyDescent="0.25">
      <c r="Z92" s="54">
        <f t="shared" si="9"/>
        <v>172</v>
      </c>
      <c r="AA92" s="55">
        <f t="shared" si="5"/>
        <v>0</v>
      </c>
      <c r="AB92" s="56">
        <f t="shared" si="6"/>
        <v>72</v>
      </c>
      <c r="AC92" s="50">
        <f t="shared" si="7"/>
        <v>0</v>
      </c>
      <c r="AD92" s="57">
        <f t="shared" si="8"/>
        <v>72</v>
      </c>
    </row>
    <row r="93" spans="26:30" x14ac:dyDescent="0.25">
      <c r="Z93" s="54">
        <f t="shared" si="9"/>
        <v>174</v>
      </c>
      <c r="AA93" s="55">
        <f t="shared" si="5"/>
        <v>0</v>
      </c>
      <c r="AB93" s="56">
        <f t="shared" si="6"/>
        <v>74</v>
      </c>
      <c r="AC93" s="50">
        <f t="shared" si="7"/>
        <v>0</v>
      </c>
      <c r="AD93" s="57">
        <f t="shared" si="8"/>
        <v>74</v>
      </c>
    </row>
    <row r="94" spans="26:30" x14ac:dyDescent="0.25">
      <c r="Z94" s="54">
        <f t="shared" si="9"/>
        <v>176</v>
      </c>
      <c r="AA94" s="55">
        <f t="shared" si="5"/>
        <v>0</v>
      </c>
      <c r="AB94" s="56">
        <f t="shared" si="6"/>
        <v>76</v>
      </c>
      <c r="AC94" s="50">
        <f t="shared" si="7"/>
        <v>0</v>
      </c>
      <c r="AD94" s="57">
        <f t="shared" si="8"/>
        <v>76</v>
      </c>
    </row>
    <row r="95" spans="26:30" x14ac:dyDescent="0.25">
      <c r="Z95" s="54">
        <f t="shared" si="9"/>
        <v>178</v>
      </c>
      <c r="AA95" s="55">
        <f t="shared" si="5"/>
        <v>0</v>
      </c>
      <c r="AB95" s="56">
        <f t="shared" si="6"/>
        <v>78</v>
      </c>
      <c r="AC95" s="50">
        <f t="shared" si="7"/>
        <v>0</v>
      </c>
      <c r="AD95" s="57">
        <f t="shared" si="8"/>
        <v>78</v>
      </c>
    </row>
    <row r="96" spans="26:30" x14ac:dyDescent="0.25">
      <c r="Z96" s="54">
        <f t="shared" si="9"/>
        <v>180</v>
      </c>
      <c r="AA96" s="55">
        <f t="shared" si="5"/>
        <v>0</v>
      </c>
      <c r="AB96" s="56">
        <f t="shared" si="6"/>
        <v>80</v>
      </c>
      <c r="AC96" s="50">
        <f t="shared" si="7"/>
        <v>0</v>
      </c>
      <c r="AD96" s="57">
        <f t="shared" si="8"/>
        <v>80</v>
      </c>
    </row>
    <row r="97" spans="26:30" x14ac:dyDescent="0.25">
      <c r="Z97" s="54">
        <f t="shared" si="9"/>
        <v>182</v>
      </c>
      <c r="AA97" s="55">
        <f t="shared" si="5"/>
        <v>0</v>
      </c>
      <c r="AB97" s="56">
        <f t="shared" si="6"/>
        <v>82</v>
      </c>
      <c r="AC97" s="50">
        <f t="shared" si="7"/>
        <v>0</v>
      </c>
      <c r="AD97" s="57">
        <f t="shared" si="8"/>
        <v>82</v>
      </c>
    </row>
    <row r="98" spans="26:30" x14ac:dyDescent="0.25">
      <c r="Z98" s="54">
        <f t="shared" si="9"/>
        <v>184</v>
      </c>
      <c r="AA98" s="55">
        <f t="shared" si="5"/>
        <v>0</v>
      </c>
      <c r="AB98" s="56">
        <f t="shared" si="6"/>
        <v>84</v>
      </c>
      <c r="AC98" s="50">
        <f t="shared" si="7"/>
        <v>0</v>
      </c>
      <c r="AD98" s="57">
        <f t="shared" si="8"/>
        <v>84</v>
      </c>
    </row>
    <row r="99" spans="26:30" x14ac:dyDescent="0.25">
      <c r="Z99" s="54">
        <f t="shared" si="9"/>
        <v>186</v>
      </c>
      <c r="AA99" s="55">
        <f t="shared" si="5"/>
        <v>0</v>
      </c>
      <c r="AB99" s="56">
        <f t="shared" si="6"/>
        <v>86</v>
      </c>
      <c r="AC99" s="50">
        <f t="shared" si="7"/>
        <v>0</v>
      </c>
      <c r="AD99" s="57">
        <f t="shared" si="8"/>
        <v>86</v>
      </c>
    </row>
    <row r="100" spans="26:30" x14ac:dyDescent="0.25">
      <c r="Z100" s="54">
        <f t="shared" si="9"/>
        <v>188</v>
      </c>
      <c r="AA100" s="55">
        <f t="shared" si="5"/>
        <v>0</v>
      </c>
      <c r="AB100" s="56">
        <f t="shared" si="6"/>
        <v>88</v>
      </c>
      <c r="AC100" s="50">
        <f t="shared" si="7"/>
        <v>0</v>
      </c>
      <c r="AD100" s="57">
        <f t="shared" si="8"/>
        <v>88</v>
      </c>
    </row>
    <row r="101" spans="26:30" x14ac:dyDescent="0.25">
      <c r="Z101" s="54">
        <f t="shared" si="9"/>
        <v>190</v>
      </c>
      <c r="AA101" s="55">
        <f t="shared" si="5"/>
        <v>0</v>
      </c>
      <c r="AB101" s="56">
        <f t="shared" si="6"/>
        <v>90</v>
      </c>
      <c r="AC101" s="50">
        <f t="shared" si="7"/>
        <v>0</v>
      </c>
      <c r="AD101" s="57">
        <f t="shared" si="8"/>
        <v>90</v>
      </c>
    </row>
    <row r="102" spans="26:30" x14ac:dyDescent="0.25">
      <c r="Z102" s="54">
        <f t="shared" si="9"/>
        <v>192</v>
      </c>
      <c r="AA102" s="55">
        <f t="shared" si="5"/>
        <v>0</v>
      </c>
      <c r="AB102" s="56">
        <f t="shared" si="6"/>
        <v>92</v>
      </c>
      <c r="AC102" s="50">
        <f t="shared" si="7"/>
        <v>0</v>
      </c>
      <c r="AD102" s="57">
        <f t="shared" ref="AD102:AD106" si="10">SUM(AA102:AC102)*IF($E$6="Y",1,0)</f>
        <v>92</v>
      </c>
    </row>
    <row r="103" spans="26:30" x14ac:dyDescent="0.25">
      <c r="Z103" s="54">
        <f t="shared" si="9"/>
        <v>194</v>
      </c>
      <c r="AA103" s="55">
        <f t="shared" si="5"/>
        <v>0</v>
      </c>
      <c r="AB103" s="56">
        <f t="shared" si="6"/>
        <v>94</v>
      </c>
      <c r="AC103" s="50">
        <f t="shared" si="7"/>
        <v>0</v>
      </c>
      <c r="AD103" s="57">
        <f t="shared" si="10"/>
        <v>94</v>
      </c>
    </row>
    <row r="104" spans="26:30" x14ac:dyDescent="0.25">
      <c r="Z104" s="54">
        <f t="shared" si="9"/>
        <v>196</v>
      </c>
      <c r="AA104" s="55">
        <f t="shared" si="5"/>
        <v>0</v>
      </c>
      <c r="AB104" s="56">
        <f t="shared" si="6"/>
        <v>96</v>
      </c>
      <c r="AC104" s="50">
        <f t="shared" si="7"/>
        <v>0</v>
      </c>
      <c r="AD104" s="57">
        <f t="shared" si="10"/>
        <v>96</v>
      </c>
    </row>
    <row r="105" spans="26:30" x14ac:dyDescent="0.25">
      <c r="Z105" s="54">
        <f t="shared" si="9"/>
        <v>198</v>
      </c>
      <c r="AA105" s="55">
        <f t="shared" si="5"/>
        <v>0</v>
      </c>
      <c r="AB105" s="56">
        <f t="shared" si="6"/>
        <v>98</v>
      </c>
      <c r="AC105" s="50">
        <f t="shared" si="7"/>
        <v>0</v>
      </c>
      <c r="AD105" s="57">
        <f t="shared" si="10"/>
        <v>98</v>
      </c>
    </row>
    <row r="106" spans="26:30" x14ac:dyDescent="0.25">
      <c r="Z106" s="64">
        <f t="shared" si="9"/>
        <v>200</v>
      </c>
      <c r="AA106" s="65">
        <f t="shared" si="5"/>
        <v>0</v>
      </c>
      <c r="AB106" s="58">
        <f t="shared" si="6"/>
        <v>100</v>
      </c>
      <c r="AC106" s="67">
        <f t="shared" si="7"/>
        <v>0</v>
      </c>
      <c r="AD106" s="66">
        <f t="shared" si="10"/>
        <v>100</v>
      </c>
    </row>
    <row r="107" spans="26:30" x14ac:dyDescent="0.25">
      <c r="Z107" s="54"/>
    </row>
    <row r="108" spans="26:30" x14ac:dyDescent="0.25">
      <c r="Z108" s="54"/>
    </row>
    <row r="109" spans="26:30" x14ac:dyDescent="0.25">
      <c r="Z109" s="54"/>
    </row>
    <row r="110" spans="26:30" x14ac:dyDescent="0.25">
      <c r="Z110" s="54"/>
    </row>
    <row r="111" spans="26:30" x14ac:dyDescent="0.25">
      <c r="Z111" s="54"/>
    </row>
    <row r="112" spans="26:30" x14ac:dyDescent="0.25">
      <c r="Z112" s="54"/>
    </row>
    <row r="113" spans="26:26" x14ac:dyDescent="0.25">
      <c r="Z113" s="54"/>
    </row>
    <row r="114" spans="26:26" x14ac:dyDescent="0.25">
      <c r="Z114" s="54"/>
    </row>
    <row r="115" spans="26:26" x14ac:dyDescent="0.25">
      <c r="Z115" s="54"/>
    </row>
    <row r="116" spans="26:26" x14ac:dyDescent="0.25">
      <c r="Z116" s="54"/>
    </row>
    <row r="117" spans="26:26" x14ac:dyDescent="0.25">
      <c r="Z117" s="54"/>
    </row>
    <row r="118" spans="26:26" x14ac:dyDescent="0.25">
      <c r="Z118" s="54"/>
    </row>
    <row r="119" spans="26:26" x14ac:dyDescent="0.25">
      <c r="Z119" s="54"/>
    </row>
    <row r="120" spans="26:26" x14ac:dyDescent="0.25">
      <c r="Z120" s="54"/>
    </row>
    <row r="121" spans="26:26" x14ac:dyDescent="0.25">
      <c r="Z121" s="54"/>
    </row>
    <row r="122" spans="26:26" x14ac:dyDescent="0.25">
      <c r="Z122" s="54"/>
    </row>
    <row r="123" spans="26:26" x14ac:dyDescent="0.25">
      <c r="Z123" s="54"/>
    </row>
    <row r="124" spans="26:26" x14ac:dyDescent="0.25">
      <c r="Z124" s="54"/>
    </row>
    <row r="125" spans="26:26" x14ac:dyDescent="0.25">
      <c r="Z125" s="54"/>
    </row>
    <row r="126" spans="26:26" x14ac:dyDescent="0.25">
      <c r="Z126" s="54"/>
    </row>
    <row r="127" spans="26:26" x14ac:dyDescent="0.25">
      <c r="Z127" s="54"/>
    </row>
    <row r="128" spans="26:26" x14ac:dyDescent="0.25">
      <c r="Z128" s="54"/>
    </row>
    <row r="129" spans="26:26" x14ac:dyDescent="0.25">
      <c r="Z129" s="54"/>
    </row>
    <row r="130" spans="26:26" x14ac:dyDescent="0.25">
      <c r="Z130" s="54"/>
    </row>
    <row r="131" spans="26:26" x14ac:dyDescent="0.25">
      <c r="Z131" s="54"/>
    </row>
    <row r="132" spans="26:26" x14ac:dyDescent="0.25">
      <c r="Z132" s="54"/>
    </row>
    <row r="133" spans="26:26" x14ac:dyDescent="0.25">
      <c r="Z133" s="54"/>
    </row>
    <row r="134" spans="26:26" x14ac:dyDescent="0.25">
      <c r="Z134" s="54"/>
    </row>
  </sheetData>
  <mergeCells count="15">
    <mergeCell ref="E13:F14"/>
    <mergeCell ref="AG4:AG12"/>
    <mergeCell ref="AI4:AK4"/>
    <mergeCell ref="AA5:AC5"/>
    <mergeCell ref="AI8:AK8"/>
    <mergeCell ref="AI9:AK9"/>
    <mergeCell ref="AI10:AK10"/>
    <mergeCell ref="AI11:AK11"/>
    <mergeCell ref="AI12:AK12"/>
    <mergeCell ref="AD3:AD5"/>
    <mergeCell ref="D1:F1"/>
    <mergeCell ref="Z3:Z4"/>
    <mergeCell ref="AA3:AA4"/>
    <mergeCell ref="AB3:AB4"/>
    <mergeCell ref="AC3:AC4"/>
  </mergeCells>
  <pageMargins left="0.75" right="0.75" top="1" bottom="1" header="0.5" footer="0.5"/>
  <pageSetup orientation="portrait" r:id="rId1"/>
  <headerFooter alignWithMargins="0"/>
  <drawing r:id="rId2"/>
  <legacyDrawing r:id="rId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A4C8-2F28-4409-90D2-4C469B7CF7C9}">
  <dimension ref="A1:L18"/>
  <sheetViews>
    <sheetView zoomScaleNormal="100" workbookViewId="0">
      <selection activeCell="A11" sqref="A11:B12"/>
    </sheetView>
  </sheetViews>
  <sheetFormatPr baseColWidth="10" defaultColWidth="9.21875" defaultRowHeight="13.2" x14ac:dyDescent="0.25"/>
  <cols>
    <col min="1" max="1" width="16.33203125" style="68" bestFit="1" customWidth="1"/>
    <col min="2" max="2" width="14.21875" style="68" customWidth="1"/>
    <col min="3" max="3" width="12.21875" style="68" bestFit="1" customWidth="1"/>
    <col min="4" max="4" width="12.5546875" style="68" bestFit="1" customWidth="1"/>
    <col min="5" max="5" width="12.33203125" style="68" bestFit="1" customWidth="1"/>
    <col min="6" max="8" width="9.21875" style="68"/>
    <col min="9" max="9" width="10.44140625" style="68" bestFit="1" customWidth="1"/>
    <col min="10" max="16384" width="9.21875" style="68"/>
  </cols>
  <sheetData>
    <row r="1" spans="1:12" x14ac:dyDescent="0.25">
      <c r="A1" s="69" t="s">
        <v>218</v>
      </c>
      <c r="B1" s="649">
        <v>100</v>
      </c>
    </row>
    <row r="2" spans="1:12" x14ac:dyDescent="0.25">
      <c r="A2" s="69" t="s">
        <v>702</v>
      </c>
      <c r="B2" s="649">
        <v>120</v>
      </c>
      <c r="I2" s="42"/>
      <c r="J2" s="42"/>
      <c r="K2" s="42"/>
      <c r="L2" s="42"/>
    </row>
    <row r="3" spans="1:12" x14ac:dyDescent="0.25">
      <c r="A3" s="69" t="s">
        <v>703</v>
      </c>
      <c r="B3" s="650">
        <v>0.3</v>
      </c>
      <c r="F3" s="68" t="s">
        <v>705</v>
      </c>
      <c r="I3" s="42"/>
      <c r="J3" s="42"/>
      <c r="K3" s="42"/>
      <c r="L3" s="42"/>
    </row>
    <row r="4" spans="1:12" x14ac:dyDescent="0.25">
      <c r="A4" s="69" t="s">
        <v>219</v>
      </c>
      <c r="B4" s="651">
        <v>0.1</v>
      </c>
      <c r="I4" s="42"/>
      <c r="J4" s="42"/>
      <c r="K4" s="42"/>
      <c r="L4" s="42"/>
    </row>
    <row r="5" spans="1:12" x14ac:dyDescent="0.25">
      <c r="A5" s="69" t="s">
        <v>221</v>
      </c>
      <c r="B5" s="651">
        <v>0.03</v>
      </c>
      <c r="D5" s="42"/>
      <c r="E5" s="42"/>
      <c r="F5" s="42"/>
      <c r="G5" s="42"/>
      <c r="I5" s="42"/>
      <c r="J5" s="42"/>
      <c r="K5" s="42"/>
      <c r="L5" s="42"/>
    </row>
    <row r="6" spans="1:12" x14ac:dyDescent="0.25">
      <c r="A6" s="69" t="s">
        <v>704</v>
      </c>
      <c r="B6" s="77">
        <v>0.5</v>
      </c>
      <c r="D6" s="42"/>
      <c r="E6" s="42"/>
      <c r="F6" s="42" t="s">
        <v>116</v>
      </c>
      <c r="G6" s="42"/>
      <c r="I6" s="42"/>
      <c r="J6" s="42"/>
      <c r="K6" s="42"/>
      <c r="L6" s="42"/>
    </row>
    <row r="7" spans="1:12" x14ac:dyDescent="0.25">
      <c r="D7" s="42"/>
      <c r="E7" s="42"/>
      <c r="F7" s="42"/>
      <c r="G7" s="42"/>
    </row>
    <row r="8" spans="1:12" x14ac:dyDescent="0.25">
      <c r="A8" s="69" t="s">
        <v>108</v>
      </c>
      <c r="B8" s="77">
        <f>(LN(B1/B2)+((B4-B5+(0.5*B3*B3))*B6))/(B3*SQRT(B6))</f>
        <v>-0.58841446164844713</v>
      </c>
      <c r="D8" s="42"/>
      <c r="E8" s="42"/>
      <c r="F8" s="42"/>
      <c r="G8" s="42"/>
    </row>
    <row r="9" spans="1:12" x14ac:dyDescent="0.25">
      <c r="A9" s="69" t="s">
        <v>109</v>
      </c>
      <c r="B9" s="77">
        <f>B8-(B3*SQRT(B6))</f>
        <v>-0.80054649600441141</v>
      </c>
      <c r="D9" s="42"/>
      <c r="E9" s="42"/>
      <c r="F9" s="42"/>
      <c r="G9" s="42"/>
    </row>
    <row r="10" spans="1:12" x14ac:dyDescent="0.25">
      <c r="A10" s="137"/>
    </row>
    <row r="11" spans="1:12" x14ac:dyDescent="0.25">
      <c r="A11" s="69" t="s">
        <v>705</v>
      </c>
      <c r="B11" s="62">
        <f>(B1*EXP(-B5*B6)*NORMSDIST(B8))-(B2*EXP(-B4*B6)*NORMSDIST(B9))</f>
        <v>3.2339260849647147</v>
      </c>
    </row>
    <row r="12" spans="1:12" x14ac:dyDescent="0.25">
      <c r="A12" s="69" t="s">
        <v>220</v>
      </c>
      <c r="B12" s="62">
        <f>-(B1*EXP(-B5*B6)*NORMSDIST(-B8))+(B2*EXP(-B4*B6)*NORMSDIST(-B9))</f>
        <v>18.870263064744151</v>
      </c>
    </row>
    <row r="14" spans="1:12" x14ac:dyDescent="0.25">
      <c r="A14" s="96"/>
      <c r="B14" s="50"/>
      <c r="C14" s="50"/>
      <c r="D14" s="50"/>
      <c r="E14" s="42"/>
      <c r="F14" s="42"/>
      <c r="G14" s="42"/>
    </row>
    <row r="15" spans="1:12" x14ac:dyDescent="0.25">
      <c r="A15" s="42"/>
      <c r="B15" s="50"/>
      <c r="C15" s="50"/>
      <c r="D15" s="679"/>
      <c r="E15" s="42"/>
      <c r="F15" s="42"/>
      <c r="G15" s="42"/>
    </row>
    <row r="16" spans="1:12" x14ac:dyDescent="0.25">
      <c r="A16" s="42"/>
      <c r="B16" s="42"/>
      <c r="C16" s="42"/>
      <c r="D16" s="42"/>
      <c r="E16" s="42"/>
      <c r="F16" s="42"/>
      <c r="G16" s="42"/>
    </row>
    <row r="17" spans="1:7" x14ac:dyDescent="0.25">
      <c r="A17" s="42"/>
      <c r="B17" s="653"/>
      <c r="C17" s="42"/>
      <c r="D17" s="42"/>
      <c r="E17" s="42"/>
      <c r="F17" s="42"/>
      <c r="G17" s="42"/>
    </row>
    <row r="18" spans="1:7" x14ac:dyDescent="0.25">
      <c r="A18" s="42"/>
      <c r="B18" s="653"/>
      <c r="C18" s="42"/>
      <c r="D18" s="42"/>
      <c r="E18" s="42"/>
      <c r="F18" s="42"/>
      <c r="G18" s="42"/>
    </row>
  </sheetData>
  <pageMargins left="0.75" right="0.75" top="1" bottom="1" header="0.5" footer="0.5"/>
  <pageSetup orientation="portrait" r:id="rId1"/>
  <headerFooter alignWithMargins="0"/>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3541-279B-4FB7-939B-7CF92712C3BF}">
  <dimension ref="A1:M29"/>
  <sheetViews>
    <sheetView topLeftCell="A2" zoomScaleNormal="100" workbookViewId="0">
      <selection activeCell="H29" sqref="H29"/>
    </sheetView>
  </sheetViews>
  <sheetFormatPr baseColWidth="10" defaultColWidth="9.21875" defaultRowHeight="13.2" x14ac:dyDescent="0.25"/>
  <cols>
    <col min="1" max="1" width="12.21875" style="68" bestFit="1" customWidth="1"/>
    <col min="2" max="2" width="12.5546875" style="68" bestFit="1" customWidth="1"/>
    <col min="3" max="3" width="12.33203125" style="68" bestFit="1" customWidth="1"/>
    <col min="4" max="6" width="9.21875" style="68"/>
    <col min="7" max="7" width="10.44140625" style="68" bestFit="1" customWidth="1"/>
    <col min="8" max="8" width="20.21875" style="68" bestFit="1" customWidth="1"/>
    <col min="9" max="16384" width="9.21875" style="68"/>
  </cols>
  <sheetData>
    <row r="1" spans="1:11" x14ac:dyDescent="0.25">
      <c r="A1" s="68" t="s">
        <v>739</v>
      </c>
    </row>
    <row r="2" spans="1:11" x14ac:dyDescent="0.25">
      <c r="G2" s="42"/>
      <c r="H2" s="42"/>
      <c r="I2" s="42"/>
      <c r="J2" s="42"/>
    </row>
    <row r="3" spans="1:11" x14ac:dyDescent="0.25">
      <c r="G3" s="42"/>
      <c r="H3" s="42"/>
      <c r="I3" s="42"/>
      <c r="J3" s="42"/>
    </row>
    <row r="4" spans="1:11" x14ac:dyDescent="0.25">
      <c r="G4" s="42"/>
      <c r="H4" s="42"/>
      <c r="I4" s="42"/>
      <c r="J4" s="42"/>
    </row>
    <row r="5" spans="1:11" x14ac:dyDescent="0.25">
      <c r="B5" s="42"/>
      <c r="C5" s="42"/>
      <c r="D5" s="42"/>
      <c r="E5" s="42"/>
      <c r="G5" s="42"/>
      <c r="H5" s="42"/>
      <c r="I5" s="42"/>
      <c r="J5" s="42"/>
    </row>
    <row r="6" spans="1:11" x14ac:dyDescent="0.25">
      <c r="B6" s="42"/>
      <c r="C6" s="42"/>
      <c r="D6" s="42"/>
      <c r="E6" s="42"/>
      <c r="G6" s="42"/>
      <c r="H6" s="42"/>
      <c r="I6" s="42"/>
      <c r="J6" s="42"/>
    </row>
    <row r="7" spans="1:11" x14ac:dyDescent="0.25">
      <c r="B7" s="42"/>
      <c r="C7" s="42"/>
      <c r="D7" s="42"/>
      <c r="E7" s="42"/>
    </row>
    <row r="8" spans="1:11" x14ac:dyDescent="0.25">
      <c r="B8" s="42"/>
      <c r="C8" s="42"/>
      <c r="D8" s="42"/>
      <c r="E8" s="42"/>
    </row>
    <row r="9" spans="1:11" x14ac:dyDescent="0.25">
      <c r="B9" s="42"/>
      <c r="C9" s="42"/>
      <c r="D9" s="42"/>
      <c r="E9" s="42"/>
      <c r="K9" s="68" t="s">
        <v>740</v>
      </c>
    </row>
    <row r="10" spans="1:11" x14ac:dyDescent="0.25">
      <c r="K10" s="68" t="s">
        <v>741</v>
      </c>
    </row>
    <row r="12" spans="1:11" x14ac:dyDescent="0.25">
      <c r="K12" s="68" t="s">
        <v>742</v>
      </c>
    </row>
    <row r="13" spans="1:11" x14ac:dyDescent="0.25">
      <c r="K13" s="68" t="s">
        <v>743</v>
      </c>
    </row>
    <row r="14" spans="1:11" x14ac:dyDescent="0.25">
      <c r="A14" s="50"/>
      <c r="B14" s="50"/>
      <c r="C14" s="42"/>
      <c r="D14" s="42"/>
      <c r="E14" s="42"/>
    </row>
    <row r="15" spans="1:11" x14ac:dyDescent="0.25">
      <c r="A15" s="50"/>
      <c r="B15" s="50"/>
      <c r="C15" s="42"/>
      <c r="D15" s="42"/>
      <c r="E15" s="42"/>
    </row>
    <row r="16" spans="1:11" x14ac:dyDescent="0.25">
      <c r="A16" s="42"/>
      <c r="B16" s="42"/>
      <c r="C16" s="42"/>
      <c r="D16" s="42"/>
      <c r="E16" s="42"/>
    </row>
    <row r="17" spans="1:13" x14ac:dyDescent="0.25">
      <c r="A17" s="42"/>
      <c r="B17" s="42"/>
      <c r="C17" s="42"/>
      <c r="D17" s="42"/>
      <c r="E17" s="42"/>
      <c r="H17" s="680"/>
      <c r="K17" s="68" t="s">
        <v>744</v>
      </c>
    </row>
    <row r="18" spans="1:13" x14ac:dyDescent="0.25">
      <c r="A18" s="42"/>
      <c r="B18" s="42"/>
      <c r="C18" s="42"/>
      <c r="D18" s="42"/>
      <c r="E18" s="42"/>
    </row>
    <row r="19" spans="1:13" x14ac:dyDescent="0.25">
      <c r="A19" s="42"/>
      <c r="B19" s="42"/>
      <c r="C19" s="42"/>
      <c r="D19" s="42"/>
      <c r="E19" s="42"/>
      <c r="L19" s="68" t="s">
        <v>745</v>
      </c>
      <c r="M19" s="68">
        <f>100 - (100*EXP(-0.03*0.5))</f>
        <v>1.4888060396937419</v>
      </c>
    </row>
    <row r="20" spans="1:13" x14ac:dyDescent="0.25">
      <c r="A20" s="42"/>
      <c r="B20" s="42"/>
      <c r="C20" s="42"/>
      <c r="D20" s="42"/>
      <c r="E20" s="42"/>
    </row>
    <row r="21" spans="1:13" x14ac:dyDescent="0.25">
      <c r="A21" s="42"/>
      <c r="B21" s="42"/>
      <c r="C21" s="42"/>
      <c r="D21" s="42"/>
      <c r="E21" s="42"/>
      <c r="K21" s="68" t="s">
        <v>746</v>
      </c>
    </row>
    <row r="22" spans="1:13" x14ac:dyDescent="0.25">
      <c r="K22" s="68" t="s">
        <v>747</v>
      </c>
    </row>
    <row r="27" spans="1:13" x14ac:dyDescent="0.25">
      <c r="K27" s="68" t="s">
        <v>748</v>
      </c>
    </row>
    <row r="29" spans="1:13" x14ac:dyDescent="0.25">
      <c r="L29" s="68" t="s">
        <v>456</v>
      </c>
      <c r="M29" s="295">
        <f>M19*EXP(0.1*0.5)</f>
        <v>1.5651387576400866</v>
      </c>
    </row>
  </sheetData>
  <pageMargins left="0.75" right="0.75" top="1" bottom="1" header="0.5" footer="0.5"/>
  <pageSetup orientation="portrait" r:id="rId1"/>
  <headerFooter alignWithMargins="0"/>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A87B-8124-4612-8217-51D777A0AE0F}">
  <dimension ref="A1:G25"/>
  <sheetViews>
    <sheetView workbookViewId="0">
      <selection activeCell="E6" sqref="E6"/>
    </sheetView>
  </sheetViews>
  <sheetFormatPr baseColWidth="10" defaultColWidth="9.21875" defaultRowHeight="13.2" x14ac:dyDescent="0.25"/>
  <cols>
    <col min="1" max="1" width="10" style="68" customWidth="1"/>
    <col min="2" max="2" width="14.21875" style="68" customWidth="1"/>
    <col min="3" max="16384" width="9.21875" style="68"/>
  </cols>
  <sheetData>
    <row r="1" spans="1:2" x14ac:dyDescent="0.25">
      <c r="A1" s="69" t="s">
        <v>232</v>
      </c>
      <c r="B1" s="69" t="s">
        <v>233</v>
      </c>
    </row>
    <row r="2" spans="1:2" x14ac:dyDescent="0.25">
      <c r="A2" s="181">
        <v>0</v>
      </c>
      <c r="B2" s="12">
        <v>20</v>
      </c>
    </row>
    <row r="3" spans="1:2" x14ac:dyDescent="0.25">
      <c r="A3" s="183">
        <f t="shared" ref="A3:A22" si="0">A2+1</f>
        <v>1</v>
      </c>
      <c r="B3" s="2">
        <v>20.100000000000001</v>
      </c>
    </row>
    <row r="4" spans="1:2" x14ac:dyDescent="0.25">
      <c r="A4" s="183">
        <f t="shared" si="0"/>
        <v>2</v>
      </c>
      <c r="B4" s="2">
        <v>19.899999999999999</v>
      </c>
    </row>
    <row r="5" spans="1:2" x14ac:dyDescent="0.25">
      <c r="A5" s="183">
        <f t="shared" si="0"/>
        <v>3</v>
      </c>
      <c r="B5" s="2">
        <v>20</v>
      </c>
    </row>
    <row r="6" spans="1:2" x14ac:dyDescent="0.25">
      <c r="A6" s="183">
        <f t="shared" si="0"/>
        <v>4</v>
      </c>
      <c r="B6" s="2">
        <v>20.5</v>
      </c>
    </row>
    <row r="7" spans="1:2" x14ac:dyDescent="0.25">
      <c r="A7" s="183">
        <f t="shared" si="0"/>
        <v>5</v>
      </c>
      <c r="B7" s="2">
        <v>20.25</v>
      </c>
    </row>
    <row r="8" spans="1:2" x14ac:dyDescent="0.25">
      <c r="A8" s="183">
        <f t="shared" si="0"/>
        <v>6</v>
      </c>
      <c r="B8" s="2">
        <v>20.9</v>
      </c>
    </row>
    <row r="9" spans="1:2" x14ac:dyDescent="0.25">
      <c r="A9" s="183">
        <f t="shared" si="0"/>
        <v>7</v>
      </c>
      <c r="B9" s="2">
        <f>B8</f>
        <v>20.9</v>
      </c>
    </row>
    <row r="10" spans="1:2" x14ac:dyDescent="0.25">
      <c r="A10" s="183">
        <f t="shared" si="0"/>
        <v>8</v>
      </c>
      <c r="B10" s="2">
        <f>B9</f>
        <v>20.9</v>
      </c>
    </row>
    <row r="11" spans="1:2" x14ac:dyDescent="0.25">
      <c r="A11" s="183">
        <f t="shared" si="0"/>
        <v>9</v>
      </c>
      <c r="B11" s="2">
        <v>20.75</v>
      </c>
    </row>
    <row r="12" spans="1:2" x14ac:dyDescent="0.25">
      <c r="A12" s="183">
        <f t="shared" si="0"/>
        <v>10</v>
      </c>
      <c r="B12" s="2">
        <f>B11</f>
        <v>20.75</v>
      </c>
    </row>
    <row r="13" spans="1:2" x14ac:dyDescent="0.25">
      <c r="A13" s="183">
        <f t="shared" si="0"/>
        <v>11</v>
      </c>
      <c r="B13" s="2">
        <v>21</v>
      </c>
    </row>
    <row r="14" spans="1:2" x14ac:dyDescent="0.25">
      <c r="A14" s="183">
        <f t="shared" si="0"/>
        <v>12</v>
      </c>
      <c r="B14" s="2">
        <v>21.1</v>
      </c>
    </row>
    <row r="15" spans="1:2" x14ac:dyDescent="0.25">
      <c r="A15" s="183">
        <f t="shared" si="0"/>
        <v>13</v>
      </c>
      <c r="B15" s="2">
        <v>20.9</v>
      </c>
    </row>
    <row r="16" spans="1:2" x14ac:dyDescent="0.25">
      <c r="A16" s="183">
        <f t="shared" si="0"/>
        <v>14</v>
      </c>
      <c r="B16" s="2">
        <v>20.9</v>
      </c>
    </row>
    <row r="17" spans="1:7" x14ac:dyDescent="0.25">
      <c r="A17" s="183">
        <f t="shared" si="0"/>
        <v>15</v>
      </c>
      <c r="B17" s="2">
        <v>21.25</v>
      </c>
    </row>
    <row r="18" spans="1:7" x14ac:dyDescent="0.25">
      <c r="A18" s="183">
        <f t="shared" si="0"/>
        <v>16</v>
      </c>
      <c r="B18" s="2">
        <v>21.4</v>
      </c>
    </row>
    <row r="19" spans="1:7" x14ac:dyDescent="0.25">
      <c r="A19" s="183">
        <f t="shared" si="0"/>
        <v>17</v>
      </c>
      <c r="B19" s="2">
        <f>B18</f>
        <v>21.4</v>
      </c>
    </row>
    <row r="20" spans="1:7" x14ac:dyDescent="0.25">
      <c r="A20" s="183">
        <f t="shared" si="0"/>
        <v>18</v>
      </c>
      <c r="B20" s="2">
        <v>21.25</v>
      </c>
    </row>
    <row r="21" spans="1:7" x14ac:dyDescent="0.25">
      <c r="A21" s="183">
        <f t="shared" si="0"/>
        <v>19</v>
      </c>
      <c r="B21" s="2">
        <v>21.75</v>
      </c>
    </row>
    <row r="22" spans="1:7" x14ac:dyDescent="0.25">
      <c r="A22" s="184">
        <f t="shared" si="0"/>
        <v>20</v>
      </c>
      <c r="B22" s="4">
        <v>22</v>
      </c>
    </row>
    <row r="25" spans="1:7" x14ac:dyDescent="0.25">
      <c r="A25" s="160" t="s">
        <v>238</v>
      </c>
      <c r="B25" s="160"/>
      <c r="C25" s="160"/>
      <c r="D25" s="160"/>
      <c r="E25" s="160"/>
      <c r="F25" s="160"/>
      <c r="G25" s="160"/>
    </row>
  </sheetData>
  <pageMargins left="0.75" right="0.75" top="1" bottom="1" header="0.5" footer="0.5"/>
  <pageSetup orientation="portrait"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14EC-7C7A-4586-8FCA-9285F7EAAD92}">
  <dimension ref="A1:I27"/>
  <sheetViews>
    <sheetView workbookViewId="0">
      <selection activeCell="C25" sqref="C25"/>
    </sheetView>
  </sheetViews>
  <sheetFormatPr baseColWidth="10" defaultColWidth="9.21875" defaultRowHeight="13.2" x14ac:dyDescent="0.25"/>
  <cols>
    <col min="1" max="1" width="10" style="68" customWidth="1"/>
    <col min="2" max="2" width="14.21875" style="68" customWidth="1"/>
    <col min="3" max="3" width="12.21875" style="68" bestFit="1" customWidth="1"/>
    <col min="4" max="4" width="12.5546875" style="68" bestFit="1" customWidth="1"/>
    <col min="5" max="16384" width="9.21875" style="68"/>
  </cols>
  <sheetData>
    <row r="1" spans="1:4" x14ac:dyDescent="0.25">
      <c r="A1" s="69" t="s">
        <v>232</v>
      </c>
      <c r="B1" s="69" t="s">
        <v>233</v>
      </c>
      <c r="C1" s="69" t="s">
        <v>234</v>
      </c>
      <c r="D1" s="69" t="s">
        <v>235</v>
      </c>
    </row>
    <row r="2" spans="1:4" x14ac:dyDescent="0.25">
      <c r="A2" s="181">
        <v>0</v>
      </c>
      <c r="B2" s="12">
        <v>20</v>
      </c>
      <c r="C2" s="182"/>
      <c r="D2" s="182"/>
    </row>
    <row r="3" spans="1:4" x14ac:dyDescent="0.25">
      <c r="A3" s="183">
        <f t="shared" ref="A3:A22" si="0">A2+1</f>
        <v>1</v>
      </c>
      <c r="B3" s="2">
        <v>20.100000000000001</v>
      </c>
      <c r="C3" s="127">
        <f t="shared" ref="C3:C22" si="1">B3/B2</f>
        <v>1.0050000000000001</v>
      </c>
      <c r="D3" s="127">
        <f t="shared" ref="D3:D22" si="2">LN(C3)</f>
        <v>4.9875415110391882E-3</v>
      </c>
    </row>
    <row r="4" spans="1:4" x14ac:dyDescent="0.25">
      <c r="A4" s="183">
        <f t="shared" si="0"/>
        <v>2</v>
      </c>
      <c r="B4" s="2">
        <v>19.899999999999999</v>
      </c>
      <c r="C4" s="127">
        <f t="shared" si="1"/>
        <v>0.99004975124378092</v>
      </c>
      <c r="D4" s="127">
        <f t="shared" si="2"/>
        <v>-1.0000083334583534E-2</v>
      </c>
    </row>
    <row r="5" spans="1:4" x14ac:dyDescent="0.25">
      <c r="A5" s="183">
        <f t="shared" si="0"/>
        <v>3</v>
      </c>
      <c r="B5" s="2">
        <v>20</v>
      </c>
      <c r="C5" s="127">
        <f t="shared" si="1"/>
        <v>1.0050251256281408</v>
      </c>
      <c r="D5" s="127">
        <f t="shared" si="2"/>
        <v>5.0125418235444138E-3</v>
      </c>
    </row>
    <row r="6" spans="1:4" x14ac:dyDescent="0.25">
      <c r="A6" s="183">
        <f t="shared" si="0"/>
        <v>4</v>
      </c>
      <c r="B6" s="2">
        <v>20.5</v>
      </c>
      <c r="C6" s="127">
        <f t="shared" si="1"/>
        <v>1.0249999999999999</v>
      </c>
      <c r="D6" s="127">
        <f t="shared" si="2"/>
        <v>2.4692612590371414E-2</v>
      </c>
    </row>
    <row r="7" spans="1:4" x14ac:dyDescent="0.25">
      <c r="A7" s="183">
        <f t="shared" si="0"/>
        <v>5</v>
      </c>
      <c r="B7" s="2">
        <v>20.25</v>
      </c>
      <c r="C7" s="127">
        <f t="shared" si="1"/>
        <v>0.98780487804878048</v>
      </c>
      <c r="D7" s="127">
        <f t="shared" si="2"/>
        <v>-1.2270092591814359E-2</v>
      </c>
    </row>
    <row r="8" spans="1:4" x14ac:dyDescent="0.25">
      <c r="A8" s="183">
        <f t="shared" si="0"/>
        <v>6</v>
      </c>
      <c r="B8" s="2">
        <v>20.9</v>
      </c>
      <c r="C8" s="127">
        <f t="shared" si="1"/>
        <v>1.0320987654320988</v>
      </c>
      <c r="D8" s="127">
        <f t="shared" si="2"/>
        <v>3.1594365418217182E-2</v>
      </c>
    </row>
    <row r="9" spans="1:4" x14ac:dyDescent="0.25">
      <c r="A9" s="183">
        <f t="shared" si="0"/>
        <v>7</v>
      </c>
      <c r="B9" s="2">
        <f>B8</f>
        <v>20.9</v>
      </c>
      <c r="C9" s="127">
        <f t="shared" si="1"/>
        <v>1</v>
      </c>
      <c r="D9" s="127">
        <f t="shared" si="2"/>
        <v>0</v>
      </c>
    </row>
    <row r="10" spans="1:4" x14ac:dyDescent="0.25">
      <c r="A10" s="183">
        <f t="shared" si="0"/>
        <v>8</v>
      </c>
      <c r="B10" s="2">
        <f>B9</f>
        <v>20.9</v>
      </c>
      <c r="C10" s="127">
        <f t="shared" si="1"/>
        <v>1</v>
      </c>
      <c r="D10" s="127">
        <f t="shared" si="2"/>
        <v>0</v>
      </c>
    </row>
    <row r="11" spans="1:4" x14ac:dyDescent="0.25">
      <c r="A11" s="183">
        <f t="shared" si="0"/>
        <v>9</v>
      </c>
      <c r="B11" s="2">
        <v>20.75</v>
      </c>
      <c r="C11" s="127">
        <f t="shared" si="1"/>
        <v>0.99282296650717705</v>
      </c>
      <c r="D11" s="127">
        <f t="shared" si="2"/>
        <v>-7.2029122940579973E-3</v>
      </c>
    </row>
    <row r="12" spans="1:4" x14ac:dyDescent="0.25">
      <c r="A12" s="183">
        <f t="shared" si="0"/>
        <v>10</v>
      </c>
      <c r="B12" s="2">
        <f>B11</f>
        <v>20.75</v>
      </c>
      <c r="C12" s="127">
        <f t="shared" si="1"/>
        <v>1</v>
      </c>
      <c r="D12" s="127">
        <f t="shared" si="2"/>
        <v>0</v>
      </c>
    </row>
    <row r="13" spans="1:4" x14ac:dyDescent="0.25">
      <c r="A13" s="183">
        <f t="shared" si="0"/>
        <v>11</v>
      </c>
      <c r="B13" s="2">
        <v>21</v>
      </c>
      <c r="C13" s="127">
        <f t="shared" si="1"/>
        <v>1.0120481927710843</v>
      </c>
      <c r="D13" s="127">
        <f t="shared" si="2"/>
        <v>1.197619104671562E-2</v>
      </c>
    </row>
    <row r="14" spans="1:4" x14ac:dyDescent="0.25">
      <c r="A14" s="183">
        <f t="shared" si="0"/>
        <v>12</v>
      </c>
      <c r="B14" s="2">
        <v>21.1</v>
      </c>
      <c r="C14" s="127">
        <f t="shared" si="1"/>
        <v>1.0047619047619047</v>
      </c>
      <c r="D14" s="127">
        <f t="shared" si="2"/>
        <v>4.7506027585977988E-3</v>
      </c>
    </row>
    <row r="15" spans="1:4" x14ac:dyDescent="0.25">
      <c r="A15" s="183">
        <f t="shared" si="0"/>
        <v>13</v>
      </c>
      <c r="B15" s="2">
        <v>20.9</v>
      </c>
      <c r="C15" s="127">
        <f t="shared" si="1"/>
        <v>0.99052132701421791</v>
      </c>
      <c r="D15" s="127">
        <f t="shared" si="2"/>
        <v>-9.5238815112555896E-3</v>
      </c>
    </row>
    <row r="16" spans="1:4" x14ac:dyDescent="0.25">
      <c r="A16" s="183">
        <f t="shared" si="0"/>
        <v>14</v>
      </c>
      <c r="B16" s="2">
        <v>20.9</v>
      </c>
      <c r="C16" s="127">
        <f t="shared" si="1"/>
        <v>1</v>
      </c>
      <c r="D16" s="127">
        <f t="shared" si="2"/>
        <v>0</v>
      </c>
    </row>
    <row r="17" spans="1:9" x14ac:dyDescent="0.25">
      <c r="A17" s="183">
        <f t="shared" si="0"/>
        <v>15</v>
      </c>
      <c r="B17" s="2">
        <v>21.25</v>
      </c>
      <c r="C17" s="127">
        <f t="shared" si="1"/>
        <v>1.0167464114832536</v>
      </c>
      <c r="D17" s="127">
        <f t="shared" si="2"/>
        <v>1.6607736399660546E-2</v>
      </c>
    </row>
    <row r="18" spans="1:9" x14ac:dyDescent="0.25">
      <c r="A18" s="183">
        <f t="shared" si="0"/>
        <v>16</v>
      </c>
      <c r="B18" s="2">
        <v>21.4</v>
      </c>
      <c r="C18" s="127">
        <f t="shared" si="1"/>
        <v>1.0070588235294118</v>
      </c>
      <c r="D18" s="127">
        <f t="shared" si="2"/>
        <v>7.0340266573799817E-3</v>
      </c>
    </row>
    <row r="19" spans="1:9" x14ac:dyDescent="0.25">
      <c r="A19" s="183">
        <f t="shared" si="0"/>
        <v>17</v>
      </c>
      <c r="B19" s="2">
        <f>B18</f>
        <v>21.4</v>
      </c>
      <c r="C19" s="127">
        <f t="shared" si="1"/>
        <v>1</v>
      </c>
      <c r="D19" s="127">
        <f t="shared" si="2"/>
        <v>0</v>
      </c>
    </row>
    <row r="20" spans="1:9" x14ac:dyDescent="0.25">
      <c r="A20" s="183">
        <f t="shared" si="0"/>
        <v>18</v>
      </c>
      <c r="B20" s="2">
        <v>21.25</v>
      </c>
      <c r="C20" s="127">
        <f t="shared" si="1"/>
        <v>0.9929906542056075</v>
      </c>
      <c r="D20" s="127">
        <f t="shared" si="2"/>
        <v>-7.0340266573799357E-3</v>
      </c>
    </row>
    <row r="21" spans="1:9" x14ac:dyDescent="0.25">
      <c r="A21" s="183">
        <f t="shared" si="0"/>
        <v>19</v>
      </c>
      <c r="B21" s="2">
        <v>21.75</v>
      </c>
      <c r="C21" s="127">
        <f t="shared" si="1"/>
        <v>1.0235294117647058</v>
      </c>
      <c r="D21" s="127">
        <f t="shared" si="2"/>
        <v>2.3256862164267183E-2</v>
      </c>
    </row>
    <row r="22" spans="1:9" x14ac:dyDescent="0.25">
      <c r="A22" s="184">
        <f t="shared" si="0"/>
        <v>20</v>
      </c>
      <c r="B22" s="4">
        <v>22</v>
      </c>
      <c r="C22" s="129">
        <f t="shared" si="1"/>
        <v>1.0114942528735633</v>
      </c>
      <c r="D22" s="129">
        <f t="shared" si="2"/>
        <v>1.142869582362285E-2</v>
      </c>
    </row>
    <row r="24" spans="1:9" x14ac:dyDescent="0.25">
      <c r="A24" s="68" t="s">
        <v>236</v>
      </c>
      <c r="C24" s="68">
        <f>STDEV(D3:D22)</f>
        <v>1.2159332236238293E-2</v>
      </c>
    </row>
    <row r="25" spans="1:9" x14ac:dyDescent="0.25">
      <c r="A25" s="68" t="s">
        <v>237</v>
      </c>
      <c r="C25" s="185">
        <f>C24/SQRT(1/52)</f>
        <v>8.7682191706318746E-2</v>
      </c>
    </row>
    <row r="27" spans="1:9" x14ac:dyDescent="0.25">
      <c r="A27" s="160" t="s">
        <v>238</v>
      </c>
      <c r="B27" s="160"/>
      <c r="C27" s="160"/>
      <c r="D27" s="160"/>
      <c r="E27" s="160"/>
      <c r="F27" s="160"/>
      <c r="G27" s="160"/>
      <c r="H27" s="160"/>
      <c r="I27" s="160"/>
    </row>
  </sheetData>
  <pageMargins left="0.75" right="0.75" top="1" bottom="1" header="0.5" footer="0.5"/>
  <pageSetup orientation="portrait"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DBC84-F12D-49B5-BB3D-786EDB8E619B}">
  <dimension ref="A2:H15"/>
  <sheetViews>
    <sheetView topLeftCell="A4" zoomScaleNormal="100" workbookViewId="0">
      <selection activeCell="J14" sqref="J14"/>
    </sheetView>
  </sheetViews>
  <sheetFormatPr baseColWidth="10" defaultColWidth="9.21875" defaultRowHeight="13.2" x14ac:dyDescent="0.25"/>
  <cols>
    <col min="1" max="1" width="12.33203125" style="68" bestFit="1" customWidth="1"/>
    <col min="2" max="4" width="9.21875" style="68"/>
    <col min="5" max="5" width="10.44140625" style="68" bestFit="1" customWidth="1"/>
    <col min="6" max="16384" width="9.21875" style="68"/>
  </cols>
  <sheetData>
    <row r="2" spans="1:8" x14ac:dyDescent="0.25">
      <c r="E2" s="42"/>
      <c r="F2" s="42"/>
      <c r="G2" s="42"/>
      <c r="H2" s="42"/>
    </row>
    <row r="3" spans="1:8" x14ac:dyDescent="0.25">
      <c r="E3" s="42"/>
      <c r="F3" s="42"/>
      <c r="G3" s="42"/>
      <c r="H3" s="42"/>
    </row>
    <row r="4" spans="1:8" x14ac:dyDescent="0.25">
      <c r="A4" s="42"/>
      <c r="B4" s="42"/>
      <c r="C4" s="42"/>
      <c r="E4" s="42"/>
      <c r="F4" s="42"/>
      <c r="G4" s="42"/>
      <c r="H4" s="42"/>
    </row>
    <row r="5" spans="1:8" x14ac:dyDescent="0.25">
      <c r="A5" s="42"/>
      <c r="B5" s="42"/>
      <c r="C5" s="42"/>
      <c r="E5" s="42"/>
      <c r="F5" s="42"/>
      <c r="G5" s="42"/>
      <c r="H5" s="42"/>
    </row>
    <row r="8" spans="1:8" x14ac:dyDescent="0.25">
      <c r="A8" s="42"/>
      <c r="B8" s="42"/>
      <c r="C8" s="42"/>
    </row>
    <row r="9" spans="1:8" x14ac:dyDescent="0.25">
      <c r="A9" s="42"/>
      <c r="B9" s="42"/>
      <c r="C9" s="42"/>
    </row>
    <row r="10" spans="1:8" x14ac:dyDescent="0.25">
      <c r="A10" s="42"/>
      <c r="B10" s="42"/>
      <c r="C10" s="42"/>
    </row>
    <row r="11" spans="1:8" x14ac:dyDescent="0.25">
      <c r="A11" s="42"/>
      <c r="B11" s="42"/>
      <c r="C11" s="42"/>
    </row>
    <row r="12" spans="1:8" x14ac:dyDescent="0.25">
      <c r="A12" s="42"/>
      <c r="B12" s="42"/>
      <c r="C12" s="42"/>
    </row>
    <row r="13" spans="1:8" x14ac:dyDescent="0.25">
      <c r="A13" s="42"/>
      <c r="B13" s="42"/>
      <c r="C13" s="42"/>
    </row>
    <row r="14" spans="1:8" x14ac:dyDescent="0.25">
      <c r="A14" s="42"/>
      <c r="B14" s="42"/>
      <c r="C14" s="42"/>
    </row>
    <row r="15" spans="1:8" x14ac:dyDescent="0.25">
      <c r="A15" s="42"/>
      <c r="B15" s="42"/>
      <c r="C15" s="42"/>
    </row>
  </sheetData>
  <pageMargins left="0.75" right="0.75" top="1" bottom="1" header="0.5" footer="0.5"/>
  <pageSetup orientation="portrait" r:id="rId1"/>
  <headerFooter alignWithMargins="0"/>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3348-DE84-4F87-BA94-AE9B87B01A8C}">
  <dimension ref="A1:L15"/>
  <sheetViews>
    <sheetView zoomScaleNormal="100" workbookViewId="0">
      <selection activeCell="F5" sqref="F5"/>
    </sheetView>
  </sheetViews>
  <sheetFormatPr baseColWidth="10" defaultColWidth="9.21875" defaultRowHeight="13.2" x14ac:dyDescent="0.25"/>
  <cols>
    <col min="1" max="1" width="16.33203125" style="68" bestFit="1" customWidth="1"/>
    <col min="2" max="2" width="14.21875" style="68" customWidth="1"/>
    <col min="3" max="3" width="12.21875" style="68" bestFit="1" customWidth="1"/>
    <col min="4" max="4" width="12.5546875" style="68" bestFit="1" customWidth="1"/>
    <col min="5" max="5" width="12.33203125" style="68" bestFit="1" customWidth="1"/>
    <col min="6" max="8" width="9.21875" style="68"/>
    <col min="9" max="9" width="10.44140625" style="68" bestFit="1" customWidth="1"/>
    <col min="10" max="16384" width="9.21875" style="68"/>
  </cols>
  <sheetData>
    <row r="1" spans="1:12" x14ac:dyDescent="0.25">
      <c r="A1" s="69" t="s">
        <v>218</v>
      </c>
      <c r="B1" s="649">
        <v>100</v>
      </c>
    </row>
    <row r="2" spans="1:12" x14ac:dyDescent="0.25">
      <c r="A2" s="69" t="s">
        <v>702</v>
      </c>
      <c r="B2" s="649">
        <v>120</v>
      </c>
      <c r="E2" s="68" t="s">
        <v>108</v>
      </c>
      <c r="F2" s="68">
        <f>(LN(B1/B2)+((B3+(0.5*B6*B6))*B4))/(B6*SQRT(B4))</f>
        <v>-0.48622594725004059</v>
      </c>
      <c r="I2" s="42"/>
      <c r="J2" s="42"/>
      <c r="K2" s="42"/>
      <c r="L2" s="42"/>
    </row>
    <row r="3" spans="1:12" x14ac:dyDescent="0.25">
      <c r="A3" s="69" t="s">
        <v>219</v>
      </c>
      <c r="B3" s="651">
        <v>0.1</v>
      </c>
      <c r="E3" s="68" t="s">
        <v>109</v>
      </c>
      <c r="F3" s="68">
        <f>F2-(B6*SQRT(B4))</f>
        <v>-0.70785505957583461</v>
      </c>
      <c r="I3" s="42"/>
      <c r="J3" s="42"/>
      <c r="K3" s="42"/>
      <c r="L3" s="42"/>
    </row>
    <row r="4" spans="1:12" x14ac:dyDescent="0.25">
      <c r="A4" s="69" t="s">
        <v>704</v>
      </c>
      <c r="B4" s="77">
        <v>0.5</v>
      </c>
      <c r="D4" s="42"/>
      <c r="E4" s="42" t="s">
        <v>705</v>
      </c>
      <c r="F4" s="96">
        <f>(B1*NORMSDIST(F2))-(B2*EXP(-B3*B4)*NORMSDIST(F3))</f>
        <v>4.0000021616403423</v>
      </c>
      <c r="G4" s="42"/>
      <c r="I4" s="42"/>
      <c r="J4" s="42"/>
      <c r="K4" s="42"/>
      <c r="L4" s="42"/>
    </row>
    <row r="5" spans="1:12" x14ac:dyDescent="0.25">
      <c r="A5" s="77" t="s">
        <v>749</v>
      </c>
      <c r="B5" s="445">
        <v>4</v>
      </c>
      <c r="D5" s="42"/>
      <c r="E5" s="42" t="s">
        <v>762</v>
      </c>
      <c r="F5" s="691">
        <f>B5-F4</f>
        <v>-2.1616403422797248E-6</v>
      </c>
      <c r="G5" s="42" t="s">
        <v>763</v>
      </c>
      <c r="I5" s="42"/>
      <c r="J5" s="42"/>
      <c r="K5" s="42"/>
      <c r="L5" s="42"/>
    </row>
    <row r="6" spans="1:12" x14ac:dyDescent="0.25">
      <c r="A6" s="77" t="s">
        <v>750</v>
      </c>
      <c r="B6" s="681">
        <v>0.31343089646784805</v>
      </c>
    </row>
    <row r="8" spans="1:12" x14ac:dyDescent="0.25">
      <c r="B8" s="50"/>
      <c r="C8" s="50"/>
      <c r="D8" s="50"/>
      <c r="E8" s="42"/>
      <c r="F8" s="42"/>
      <c r="G8" s="42"/>
    </row>
    <row r="9" spans="1:12" x14ac:dyDescent="0.25">
      <c r="A9" s="42"/>
      <c r="B9" s="50"/>
      <c r="C9" s="50"/>
      <c r="D9" s="50"/>
      <c r="E9" s="42"/>
      <c r="F9" s="42"/>
      <c r="G9" s="42"/>
    </row>
    <row r="10" spans="1:12" x14ac:dyDescent="0.25">
      <c r="A10" s="42"/>
      <c r="B10" s="42"/>
      <c r="C10" s="42"/>
      <c r="D10" s="42"/>
      <c r="E10" s="42"/>
      <c r="F10" s="42"/>
      <c r="G10" s="42"/>
    </row>
    <row r="11" spans="1:12" x14ac:dyDescent="0.25">
      <c r="A11" s="42"/>
      <c r="B11" s="653"/>
      <c r="C11" s="42"/>
      <c r="D11" s="42"/>
      <c r="E11" s="42"/>
      <c r="F11" s="42"/>
      <c r="G11" s="42"/>
    </row>
    <row r="12" spans="1:12" x14ac:dyDescent="0.25">
      <c r="A12" s="42"/>
      <c r="B12" s="653"/>
      <c r="C12" s="42"/>
      <c r="D12" s="42"/>
      <c r="E12" s="42"/>
      <c r="F12" s="42"/>
      <c r="G12" s="42"/>
    </row>
    <row r="13" spans="1:12" x14ac:dyDescent="0.25">
      <c r="A13" s="42"/>
      <c r="B13" s="654"/>
      <c r="C13" s="42"/>
      <c r="D13" s="42"/>
      <c r="E13" s="42"/>
      <c r="F13" s="42"/>
      <c r="G13" s="42"/>
    </row>
    <row r="14" spans="1:12" x14ac:dyDescent="0.25">
      <c r="A14" s="42"/>
      <c r="B14" s="42"/>
      <c r="C14" s="42"/>
      <c r="D14" s="42"/>
      <c r="E14" s="42"/>
      <c r="F14" s="42"/>
      <c r="G14" s="42"/>
    </row>
    <row r="15" spans="1:12" x14ac:dyDescent="0.25">
      <c r="A15" s="42"/>
      <c r="B15" s="42"/>
      <c r="C15" s="42"/>
      <c r="D15" s="42"/>
      <c r="E15" s="42"/>
      <c r="F15" s="42"/>
      <c r="G15" s="42"/>
    </row>
  </sheetData>
  <pageMargins left="0.75" right="0.75" top="1" bottom="1" header="0.5" footer="0.5"/>
  <pageSetup orientation="portrait" r:id="rId1"/>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ADC1-D4C5-47A0-A16A-1BCD95D7994E}">
  <dimension ref="A1:N132"/>
  <sheetViews>
    <sheetView topLeftCell="I1" zoomScale="110" zoomScaleNormal="110" workbookViewId="0">
      <selection activeCell="K18" sqref="K18"/>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1" width="10.21875" style="42" bestFit="1" customWidth="1"/>
    <col min="12" max="16384" width="9.21875" style="42"/>
  </cols>
  <sheetData>
    <row r="1" spans="1:14" ht="25.05" customHeight="1" x14ac:dyDescent="0.25">
      <c r="A1" s="714" t="s">
        <v>89</v>
      </c>
      <c r="B1" s="724" t="str">
        <f>K3</f>
        <v>C</v>
      </c>
      <c r="C1" s="724" t="str">
        <f>L3</f>
        <v>C</v>
      </c>
      <c r="D1" s="724" t="str">
        <f t="shared" ref="D1:E1" si="0">M3</f>
        <v>C</v>
      </c>
      <c r="E1" s="724" t="str">
        <f t="shared" si="0"/>
        <v>C</v>
      </c>
      <c r="F1" s="723" t="s">
        <v>90</v>
      </c>
      <c r="G1" s="780" t="s">
        <v>706</v>
      </c>
      <c r="H1" s="714" t="s">
        <v>707</v>
      </c>
      <c r="K1" s="43" t="s">
        <v>216</v>
      </c>
      <c r="L1" s="43" t="s">
        <v>91</v>
      </c>
      <c r="M1" s="43" t="s">
        <v>92</v>
      </c>
      <c r="N1" s="43" t="s">
        <v>93</v>
      </c>
    </row>
    <row r="2" spans="1:14" x14ac:dyDescent="0.25">
      <c r="A2" s="716"/>
      <c r="B2" s="725"/>
      <c r="C2" s="725"/>
      <c r="D2" s="725"/>
      <c r="E2" s="725"/>
      <c r="F2" s="723"/>
      <c r="G2" s="781"/>
      <c r="H2" s="715"/>
      <c r="I2" s="783" t="s">
        <v>94</v>
      </c>
      <c r="J2" s="45" t="s">
        <v>95</v>
      </c>
      <c r="K2" s="702">
        <v>100</v>
      </c>
      <c r="L2" s="702"/>
      <c r="M2" s="702"/>
      <c r="N2" s="702"/>
    </row>
    <row r="3" spans="1:14" x14ac:dyDescent="0.25">
      <c r="A3" s="47" t="s">
        <v>96</v>
      </c>
      <c r="B3" s="757" t="s">
        <v>193</v>
      </c>
      <c r="C3" s="717"/>
      <c r="D3" s="717"/>
      <c r="E3" s="718"/>
      <c r="F3" s="714"/>
      <c r="G3" s="782"/>
      <c r="H3" s="716"/>
      <c r="I3" s="784"/>
      <c r="J3" s="50" t="s">
        <v>97</v>
      </c>
      <c r="K3" s="46" t="s">
        <v>99</v>
      </c>
      <c r="L3" s="46" t="s">
        <v>99</v>
      </c>
      <c r="M3" s="46" t="s">
        <v>99</v>
      </c>
      <c r="N3" s="46" t="s">
        <v>99</v>
      </c>
    </row>
    <row r="4" spans="1:14" x14ac:dyDescent="0.25">
      <c r="A4" s="51">
        <v>0</v>
      </c>
      <c r="B4" s="52">
        <f>(MAX(IF($B$1="C",1,-1)*(A4-$K$5),0)-IF($K$10="Y",$K$13*EXP($K$6*$K$9),0))*$K$4</f>
        <v>0</v>
      </c>
      <c r="C4" s="45">
        <f>(MAX(IF($C$1="C",1,-1)*(A4-$L$5),0)-IF($K$10="Y",$L$13*EXP($K$6*$K$9),0))*$L$4</f>
        <v>0</v>
      </c>
      <c r="D4" s="45">
        <f>(MAX(IF($D$1="C",1,-1)*(A4-$M$5),0)-IF($K$10="Y",$M$13*EXP($K$6*$K$9),0))*$M$4</f>
        <v>0</v>
      </c>
      <c r="E4" s="45">
        <f>(MAX(IF($E$1="C",1,-1)*(A4-$N$5),0)-IF($K$10="Y",$N$13*EXP($K$6*$K$9),0))*$N$4</f>
        <v>0</v>
      </c>
      <c r="F4" s="174">
        <f>SUM(B4:E4)</f>
        <v>0</v>
      </c>
      <c r="G4" s="655">
        <f>IF(A4&lt;$K$16,0,$K$17)</f>
        <v>0</v>
      </c>
      <c r="H4" s="656">
        <f>F4-G4</f>
        <v>0</v>
      </c>
      <c r="I4" s="715"/>
      <c r="J4" s="50" t="s">
        <v>100</v>
      </c>
      <c r="K4" s="682">
        <f>K17/(L5-K5)</f>
        <v>20000.000000001135</v>
      </c>
      <c r="L4" s="682">
        <f>-K4</f>
        <v>-20000.000000001135</v>
      </c>
      <c r="M4" s="46">
        <v>0</v>
      </c>
      <c r="N4" s="46">
        <v>0</v>
      </c>
    </row>
    <row r="5" spans="1:14" x14ac:dyDescent="0.25">
      <c r="A5" s="54">
        <f>A4+2</f>
        <v>2</v>
      </c>
      <c r="B5" s="55">
        <f t="shared" ref="B5:B68" si="1">(MAX(IF($B$1="C",1,-1)*(A5-$K$5),0)-IF($K$10="Y",$K$13*EXP($K$6*$K$9),0))*$K$4</f>
        <v>0</v>
      </c>
      <c r="C5" s="56">
        <f t="shared" ref="C5:C68" si="2">(MAX(IF($C$1="C",1,-1)*(A5-$L$5),0)-IF($K$10="Y",$L$13*EXP($K$6*$K$9),0))*$L$4</f>
        <v>0</v>
      </c>
      <c r="D5" s="56">
        <f t="shared" ref="D5:D68" si="3">(MAX(IF($D$1="C",1,-1)*(A5-$M$5),0)-IF($K$10="Y",$M$13*EXP($K$6*$K$9),0))*$M$4</f>
        <v>0</v>
      </c>
      <c r="E5" s="56">
        <f t="shared" ref="E5:E68" si="4">(MAX(IF($E$1="C",1,-1)*(A5-$N$5),0)-IF($K$10="Y",$N$13*EXP($K$6*$K$9),0))*$N$4</f>
        <v>0</v>
      </c>
      <c r="F5" s="175">
        <f t="shared" ref="F5:F68" si="5">SUM(B5:E5)</f>
        <v>0</v>
      </c>
      <c r="G5" s="655">
        <f t="shared" ref="G5:G68" si="6">IF(A5&lt;$K$16,0,$K$17)</f>
        <v>0</v>
      </c>
      <c r="H5" s="656">
        <f t="shared" ref="H5:H68" si="7">F5-G5</f>
        <v>0</v>
      </c>
      <c r="I5" s="715"/>
      <c r="J5" s="56" t="s">
        <v>101</v>
      </c>
      <c r="K5" s="682">
        <v>120</v>
      </c>
      <c r="L5" s="682">
        <v>120.05</v>
      </c>
      <c r="M5" s="46">
        <f>L5</f>
        <v>120.05</v>
      </c>
      <c r="N5" s="46">
        <v>120</v>
      </c>
    </row>
    <row r="6" spans="1:14" x14ac:dyDescent="0.25">
      <c r="A6" s="54">
        <f t="shared" ref="A6:A69" si="8">A5+2</f>
        <v>4</v>
      </c>
      <c r="B6" s="55">
        <f t="shared" si="1"/>
        <v>0</v>
      </c>
      <c r="C6" s="56">
        <f t="shared" si="2"/>
        <v>0</v>
      </c>
      <c r="D6" s="56">
        <f t="shared" si="3"/>
        <v>0</v>
      </c>
      <c r="E6" s="56">
        <f t="shared" si="4"/>
        <v>0</v>
      </c>
      <c r="F6" s="175">
        <f t="shared" si="5"/>
        <v>0</v>
      </c>
      <c r="G6" s="655">
        <f t="shared" si="6"/>
        <v>0</v>
      </c>
      <c r="H6" s="656">
        <f t="shared" si="7"/>
        <v>0</v>
      </c>
      <c r="I6" s="715"/>
      <c r="J6" s="56" t="s">
        <v>102</v>
      </c>
      <c r="K6" s="758">
        <v>0.1</v>
      </c>
      <c r="L6" s="719"/>
      <c r="M6" s="719"/>
      <c r="N6" s="720"/>
    </row>
    <row r="7" spans="1:14" x14ac:dyDescent="0.25">
      <c r="A7" s="54">
        <f t="shared" si="8"/>
        <v>6</v>
      </c>
      <c r="B7" s="55">
        <f t="shared" si="1"/>
        <v>0</v>
      </c>
      <c r="C7" s="56">
        <f t="shared" si="2"/>
        <v>0</v>
      </c>
      <c r="D7" s="56">
        <f t="shared" si="3"/>
        <v>0</v>
      </c>
      <c r="E7" s="56">
        <f t="shared" si="4"/>
        <v>0</v>
      </c>
      <c r="F7" s="175">
        <f t="shared" si="5"/>
        <v>0</v>
      </c>
      <c r="G7" s="655">
        <f t="shared" si="6"/>
        <v>0</v>
      </c>
      <c r="H7" s="656">
        <f t="shared" si="7"/>
        <v>0</v>
      </c>
      <c r="I7" s="715"/>
      <c r="J7" s="56" t="s">
        <v>103</v>
      </c>
      <c r="K7" s="758">
        <v>0</v>
      </c>
      <c r="L7" s="719"/>
      <c r="M7" s="719"/>
      <c r="N7" s="720"/>
    </row>
    <row r="8" spans="1:14" x14ac:dyDescent="0.25">
      <c r="A8" s="54">
        <f t="shared" si="8"/>
        <v>8</v>
      </c>
      <c r="B8" s="55">
        <f t="shared" si="1"/>
        <v>0</v>
      </c>
      <c r="C8" s="56">
        <f t="shared" si="2"/>
        <v>0</v>
      </c>
      <c r="D8" s="56">
        <f t="shared" si="3"/>
        <v>0</v>
      </c>
      <c r="E8" s="56">
        <f t="shared" si="4"/>
        <v>0</v>
      </c>
      <c r="F8" s="175">
        <f t="shared" si="5"/>
        <v>0</v>
      </c>
      <c r="G8" s="655">
        <f t="shared" si="6"/>
        <v>0</v>
      </c>
      <c r="H8" s="656">
        <f t="shared" si="7"/>
        <v>0</v>
      </c>
      <c r="I8" s="715"/>
      <c r="J8" s="56" t="s">
        <v>104</v>
      </c>
      <c r="K8" s="758">
        <v>0.3</v>
      </c>
      <c r="L8" s="719"/>
      <c r="M8" s="719"/>
      <c r="N8" s="720"/>
    </row>
    <row r="9" spans="1:14" x14ac:dyDescent="0.25">
      <c r="A9" s="54">
        <f t="shared" si="8"/>
        <v>10</v>
      </c>
      <c r="B9" s="55">
        <f t="shared" si="1"/>
        <v>0</v>
      </c>
      <c r="C9" s="56">
        <f t="shared" si="2"/>
        <v>0</v>
      </c>
      <c r="D9" s="56">
        <f t="shared" si="3"/>
        <v>0</v>
      </c>
      <c r="E9" s="56">
        <f t="shared" si="4"/>
        <v>0</v>
      </c>
      <c r="F9" s="175">
        <f t="shared" si="5"/>
        <v>0</v>
      </c>
      <c r="G9" s="655">
        <f t="shared" si="6"/>
        <v>0</v>
      </c>
      <c r="H9" s="656">
        <f t="shared" si="7"/>
        <v>0</v>
      </c>
      <c r="I9" s="715"/>
      <c r="J9" s="58" t="s">
        <v>105</v>
      </c>
      <c r="K9" s="729">
        <v>0.5</v>
      </c>
      <c r="L9" s="721"/>
      <c r="M9" s="721"/>
      <c r="N9" s="722"/>
    </row>
    <row r="10" spans="1:14" x14ac:dyDescent="0.25">
      <c r="A10" s="54">
        <f t="shared" si="8"/>
        <v>12</v>
      </c>
      <c r="B10" s="55">
        <f t="shared" si="1"/>
        <v>0</v>
      </c>
      <c r="C10" s="56">
        <f t="shared" si="2"/>
        <v>0</v>
      </c>
      <c r="D10" s="56">
        <f t="shared" si="3"/>
        <v>0</v>
      </c>
      <c r="E10" s="56">
        <f t="shared" si="4"/>
        <v>0</v>
      </c>
      <c r="F10" s="175">
        <f t="shared" si="5"/>
        <v>0</v>
      </c>
      <c r="G10" s="655">
        <f t="shared" si="6"/>
        <v>0</v>
      </c>
      <c r="H10" s="656">
        <f t="shared" si="7"/>
        <v>0</v>
      </c>
      <c r="I10" s="716"/>
      <c r="J10" s="59" t="s">
        <v>106</v>
      </c>
      <c r="K10" s="729" t="s">
        <v>239</v>
      </c>
      <c r="L10" s="721"/>
      <c r="M10" s="721"/>
      <c r="N10" s="722"/>
    </row>
    <row r="11" spans="1:14" x14ac:dyDescent="0.25">
      <c r="A11" s="54">
        <f t="shared" si="8"/>
        <v>14</v>
      </c>
      <c r="B11" s="55">
        <f t="shared" si="1"/>
        <v>0</v>
      </c>
      <c r="C11" s="56">
        <f t="shared" si="2"/>
        <v>0</v>
      </c>
      <c r="D11" s="56">
        <f t="shared" si="3"/>
        <v>0</v>
      </c>
      <c r="E11" s="56">
        <f t="shared" si="4"/>
        <v>0</v>
      </c>
      <c r="F11" s="175">
        <f t="shared" si="5"/>
        <v>0</v>
      </c>
      <c r="G11" s="655">
        <f t="shared" si="6"/>
        <v>0</v>
      </c>
      <c r="H11" s="656">
        <f t="shared" si="7"/>
        <v>0</v>
      </c>
      <c r="I11" s="41" t="s">
        <v>107</v>
      </c>
      <c r="J11" s="52" t="s">
        <v>108</v>
      </c>
      <c r="K11" s="47">
        <f>(LN($K$2/K5)+(($K$6-$K$7+(0.5*$K$8*$K$8))*$K$9))/($K$8*SQRT($K$9))</f>
        <v>-0.51770378352979229</v>
      </c>
      <c r="L11" s="47">
        <f>(LN($K$2/L5)+(($K$6-$K$7+(0.5*$K$8*$K$8))*$K$9))/($K$8*SQRT($K$9))</f>
        <v>-0.51966755994140768</v>
      </c>
      <c r="M11" s="47">
        <f>(LN($K$2/M5)+(($K$6-$K$7+(0.5*$K$8*$K$8))*$K$9))/($K$8*SQRT($K$9))</f>
        <v>-0.51966755994140768</v>
      </c>
      <c r="N11" s="47">
        <f>(LN($K$2/N5)+(($K$6-$K$7+(0.5*$K$8*$K$8))*$K$9))/($K$8*SQRT($K$9))</f>
        <v>-0.51770378352979229</v>
      </c>
    </row>
    <row r="12" spans="1:14" x14ac:dyDescent="0.25">
      <c r="A12" s="54">
        <f t="shared" si="8"/>
        <v>16</v>
      </c>
      <c r="B12" s="55">
        <f t="shared" si="1"/>
        <v>0</v>
      </c>
      <c r="C12" s="56">
        <f t="shared" si="2"/>
        <v>0</v>
      </c>
      <c r="D12" s="56">
        <f t="shared" si="3"/>
        <v>0</v>
      </c>
      <c r="E12" s="56">
        <f t="shared" si="4"/>
        <v>0</v>
      </c>
      <c r="F12" s="175">
        <f t="shared" si="5"/>
        <v>0</v>
      </c>
      <c r="G12" s="655">
        <f t="shared" si="6"/>
        <v>0</v>
      </c>
      <c r="H12" s="656">
        <f t="shared" si="7"/>
        <v>0</v>
      </c>
      <c r="I12" s="49"/>
      <c r="J12" s="55" t="s">
        <v>109</v>
      </c>
      <c r="K12" s="60">
        <f>K11-($K$8*SQRT($K$9))</f>
        <v>-0.72983581788575658</v>
      </c>
      <c r="L12" s="60">
        <f>L11-($K$8*SQRT($K$9))</f>
        <v>-0.73179959429737196</v>
      </c>
      <c r="M12" s="60">
        <f>M11-($K$8*SQRT($K$9))</f>
        <v>-0.73179959429737196</v>
      </c>
      <c r="N12" s="60">
        <f>N11-($K$8*SQRT($K$9))</f>
        <v>-0.72983581788575658</v>
      </c>
    </row>
    <row r="13" spans="1:14" x14ac:dyDescent="0.25">
      <c r="A13" s="54">
        <f t="shared" si="8"/>
        <v>18</v>
      </c>
      <c r="B13" s="55">
        <f t="shared" si="1"/>
        <v>0</v>
      </c>
      <c r="C13" s="56">
        <f t="shared" si="2"/>
        <v>0</v>
      </c>
      <c r="D13" s="56">
        <f t="shared" si="3"/>
        <v>0</v>
      </c>
      <c r="E13" s="56">
        <f t="shared" si="4"/>
        <v>0</v>
      </c>
      <c r="F13" s="175">
        <f t="shared" si="5"/>
        <v>0</v>
      </c>
      <c r="G13" s="655">
        <f t="shared" si="6"/>
        <v>0</v>
      </c>
      <c r="H13" s="656">
        <f t="shared" si="7"/>
        <v>0</v>
      </c>
      <c r="I13" s="44"/>
      <c r="J13" s="61" t="s">
        <v>110</v>
      </c>
      <c r="K13" s="62">
        <f>IF(K3="C",($K$2*EXP(-$K$7*$K$9)*NORMSDIST(K11))-(K5*EXP(-$K$6*$K$9)*NORMSDIST(K12)),(-$K$2*EXP(-$K$7*$K$9)*NORMSDIST(-K11))-(-K5*EXP(-$K$6*$K$9)*NORMSDIST(-K12)))</f>
        <v>3.6659495528410559</v>
      </c>
      <c r="L13" s="62">
        <f>IF(L3="C",($K$2*EXP(-$K$7*$K$9)*NORMSDIST(L11))-(L5*EXP(-$K$6*$K$9)*NORMSDIST(L12)),(-$K$2*EXP(-$K$7*$K$9)*NORMSDIST(-L11))-(-L5*EXP(-$K$6*$K$9)*NORMSDIST(-L12)))</f>
        <v>3.6548941138893127</v>
      </c>
      <c r="M13" s="62">
        <f>IF(M3="C",($K$2*EXP(-$K$7*$K$9)*NORMSDIST(M11))-(M5*EXP(-$K$6*$K$9)*NORMSDIST(M12)),(-$K$2*EXP(-$K$7*$K$9)*NORMSDIST(-M11))-(-M5*EXP(-$K$6*$K$9)*NORMSDIST(-M12)))</f>
        <v>3.6548941138893127</v>
      </c>
      <c r="N13" s="62">
        <f>IF(N3="C",($K$2*EXP(-$K$7*$K$9)*NORMSDIST(N11))-(N5*EXP(-$K$6*$K$9)*NORMSDIST(N12)),(-$K$2*EXP(-$K$7*$K$9)*NORMSDIST(-N11))-(-N5*EXP(-$K$6*$K$9)*NORMSDIST(-N12)))</f>
        <v>3.6659495528410559</v>
      </c>
    </row>
    <row r="14" spans="1:14" x14ac:dyDescent="0.25">
      <c r="A14" s="54">
        <f t="shared" si="8"/>
        <v>20</v>
      </c>
      <c r="B14" s="55">
        <f t="shared" si="1"/>
        <v>0</v>
      </c>
      <c r="C14" s="56">
        <f t="shared" si="2"/>
        <v>0</v>
      </c>
      <c r="D14" s="56">
        <f t="shared" si="3"/>
        <v>0</v>
      </c>
      <c r="E14" s="56">
        <f t="shared" si="4"/>
        <v>0</v>
      </c>
      <c r="F14" s="175">
        <f t="shared" si="5"/>
        <v>0</v>
      </c>
      <c r="G14" s="655">
        <f t="shared" si="6"/>
        <v>0</v>
      </c>
      <c r="H14" s="656">
        <f t="shared" si="7"/>
        <v>0</v>
      </c>
      <c r="J14" s="46" t="s">
        <v>714</v>
      </c>
      <c r="K14" s="97">
        <f>SUMPRODUCT(K4:N4,K13:N13)</f>
        <v>221.1087790348829</v>
      </c>
    </row>
    <row r="15" spans="1:14" x14ac:dyDescent="0.25">
      <c r="A15" s="54">
        <f t="shared" si="8"/>
        <v>22</v>
      </c>
      <c r="B15" s="55">
        <f t="shared" si="1"/>
        <v>0</v>
      </c>
      <c r="C15" s="56">
        <f t="shared" si="2"/>
        <v>0</v>
      </c>
      <c r="D15" s="56">
        <f t="shared" si="3"/>
        <v>0</v>
      </c>
      <c r="E15" s="56">
        <f t="shared" si="4"/>
        <v>0</v>
      </c>
      <c r="F15" s="175">
        <f t="shared" si="5"/>
        <v>0</v>
      </c>
      <c r="G15" s="655">
        <f t="shared" si="6"/>
        <v>0</v>
      </c>
      <c r="H15" s="656">
        <f t="shared" si="7"/>
        <v>0</v>
      </c>
    </row>
    <row r="16" spans="1:14" x14ac:dyDescent="0.25">
      <c r="A16" s="54">
        <f t="shared" si="8"/>
        <v>24</v>
      </c>
      <c r="B16" s="55">
        <f t="shared" si="1"/>
        <v>0</v>
      </c>
      <c r="C16" s="56">
        <f t="shared" si="2"/>
        <v>0</v>
      </c>
      <c r="D16" s="56">
        <f t="shared" si="3"/>
        <v>0</v>
      </c>
      <c r="E16" s="56">
        <f t="shared" si="4"/>
        <v>0</v>
      </c>
      <c r="F16" s="175">
        <f t="shared" si="5"/>
        <v>0</v>
      </c>
      <c r="G16" s="655">
        <f t="shared" si="6"/>
        <v>0</v>
      </c>
      <c r="H16" s="656">
        <f t="shared" si="7"/>
        <v>0</v>
      </c>
      <c r="I16" s="729" t="s">
        <v>715</v>
      </c>
      <c r="J16" s="721"/>
      <c r="K16" s="657">
        <v>120</v>
      </c>
    </row>
    <row r="17" spans="1:11" x14ac:dyDescent="0.25">
      <c r="A17" s="54">
        <f t="shared" si="8"/>
        <v>26</v>
      </c>
      <c r="B17" s="55">
        <f t="shared" si="1"/>
        <v>0</v>
      </c>
      <c r="C17" s="56">
        <f t="shared" si="2"/>
        <v>0</v>
      </c>
      <c r="D17" s="56">
        <f t="shared" si="3"/>
        <v>0</v>
      </c>
      <c r="E17" s="56">
        <f t="shared" si="4"/>
        <v>0</v>
      </c>
      <c r="F17" s="175">
        <f t="shared" si="5"/>
        <v>0</v>
      </c>
      <c r="G17" s="655">
        <f t="shared" si="6"/>
        <v>0</v>
      </c>
      <c r="H17" s="656">
        <f t="shared" si="7"/>
        <v>0</v>
      </c>
      <c r="I17" s="729" t="s">
        <v>716</v>
      </c>
      <c r="J17" s="722"/>
      <c r="K17" s="658">
        <v>1000</v>
      </c>
    </row>
    <row r="18" spans="1:11" x14ac:dyDescent="0.25">
      <c r="A18" s="54">
        <f t="shared" si="8"/>
        <v>28</v>
      </c>
      <c r="B18" s="55">
        <f t="shared" si="1"/>
        <v>0</v>
      </c>
      <c r="C18" s="56">
        <f t="shared" si="2"/>
        <v>0</v>
      </c>
      <c r="D18" s="56">
        <f t="shared" si="3"/>
        <v>0</v>
      </c>
      <c r="E18" s="56">
        <f t="shared" si="4"/>
        <v>0</v>
      </c>
      <c r="F18" s="175">
        <f t="shared" si="5"/>
        <v>0</v>
      </c>
      <c r="G18" s="655">
        <f t="shared" si="6"/>
        <v>0</v>
      </c>
      <c r="H18" s="656">
        <f t="shared" si="7"/>
        <v>0</v>
      </c>
      <c r="I18" s="729" t="s">
        <v>718</v>
      </c>
      <c r="J18" s="722"/>
      <c r="K18" s="683">
        <f>K17*NORMSDIST(K12)*EXP(-K6*K9)</f>
        <v>221.39415291116859</v>
      </c>
    </row>
    <row r="19" spans="1:11" x14ac:dyDescent="0.25">
      <c r="A19" s="54">
        <f t="shared" si="8"/>
        <v>30</v>
      </c>
      <c r="B19" s="55">
        <f t="shared" si="1"/>
        <v>0</v>
      </c>
      <c r="C19" s="56">
        <f t="shared" si="2"/>
        <v>0</v>
      </c>
      <c r="D19" s="56">
        <f t="shared" si="3"/>
        <v>0</v>
      </c>
      <c r="E19" s="56">
        <f t="shared" si="4"/>
        <v>0</v>
      </c>
      <c r="F19" s="175">
        <f t="shared" si="5"/>
        <v>0</v>
      </c>
      <c r="G19" s="655">
        <f t="shared" si="6"/>
        <v>0</v>
      </c>
      <c r="H19" s="656">
        <f t="shared" si="7"/>
        <v>0</v>
      </c>
    </row>
    <row r="20" spans="1:11" x14ac:dyDescent="0.25">
      <c r="A20" s="54">
        <f t="shared" si="8"/>
        <v>32</v>
      </c>
      <c r="B20" s="55">
        <f t="shared" si="1"/>
        <v>0</v>
      </c>
      <c r="C20" s="56">
        <f t="shared" si="2"/>
        <v>0</v>
      </c>
      <c r="D20" s="56">
        <f t="shared" si="3"/>
        <v>0</v>
      </c>
      <c r="E20" s="56">
        <f t="shared" si="4"/>
        <v>0</v>
      </c>
      <c r="F20" s="175">
        <f t="shared" si="5"/>
        <v>0</v>
      </c>
      <c r="G20" s="655">
        <f t="shared" si="6"/>
        <v>0</v>
      </c>
      <c r="H20" s="656">
        <f t="shared" si="7"/>
        <v>0</v>
      </c>
    </row>
    <row r="21" spans="1:11" x14ac:dyDescent="0.25">
      <c r="A21" s="54">
        <f t="shared" si="8"/>
        <v>34</v>
      </c>
      <c r="B21" s="55">
        <f t="shared" si="1"/>
        <v>0</v>
      </c>
      <c r="C21" s="56">
        <f t="shared" si="2"/>
        <v>0</v>
      </c>
      <c r="D21" s="56">
        <f t="shared" si="3"/>
        <v>0</v>
      </c>
      <c r="E21" s="56">
        <f t="shared" si="4"/>
        <v>0</v>
      </c>
      <c r="F21" s="175">
        <f t="shared" si="5"/>
        <v>0</v>
      </c>
      <c r="G21" s="655">
        <f t="shared" si="6"/>
        <v>0</v>
      </c>
      <c r="H21" s="656">
        <f t="shared" si="7"/>
        <v>0</v>
      </c>
    </row>
    <row r="22" spans="1:11" x14ac:dyDescent="0.25">
      <c r="A22" s="54">
        <f t="shared" si="8"/>
        <v>36</v>
      </c>
      <c r="B22" s="55">
        <f t="shared" si="1"/>
        <v>0</v>
      </c>
      <c r="C22" s="56">
        <f t="shared" si="2"/>
        <v>0</v>
      </c>
      <c r="D22" s="56">
        <f t="shared" si="3"/>
        <v>0</v>
      </c>
      <c r="E22" s="56">
        <f t="shared" si="4"/>
        <v>0</v>
      </c>
      <c r="F22" s="175">
        <f t="shared" si="5"/>
        <v>0</v>
      </c>
      <c r="G22" s="655">
        <f t="shared" si="6"/>
        <v>0</v>
      </c>
      <c r="H22" s="656">
        <f t="shared" si="7"/>
        <v>0</v>
      </c>
    </row>
    <row r="23" spans="1:11" x14ac:dyDescent="0.25">
      <c r="A23" s="54">
        <f t="shared" si="8"/>
        <v>38</v>
      </c>
      <c r="B23" s="55">
        <f t="shared" si="1"/>
        <v>0</v>
      </c>
      <c r="C23" s="56">
        <f t="shared" si="2"/>
        <v>0</v>
      </c>
      <c r="D23" s="56">
        <f t="shared" si="3"/>
        <v>0</v>
      </c>
      <c r="E23" s="56">
        <f t="shared" si="4"/>
        <v>0</v>
      </c>
      <c r="F23" s="175">
        <f t="shared" si="5"/>
        <v>0</v>
      </c>
      <c r="G23" s="655">
        <f t="shared" si="6"/>
        <v>0</v>
      </c>
      <c r="H23" s="656">
        <f t="shared" si="7"/>
        <v>0</v>
      </c>
    </row>
    <row r="24" spans="1:11" x14ac:dyDescent="0.25">
      <c r="A24" s="54">
        <f t="shared" si="8"/>
        <v>40</v>
      </c>
      <c r="B24" s="55">
        <f t="shared" si="1"/>
        <v>0</v>
      </c>
      <c r="C24" s="56">
        <f t="shared" si="2"/>
        <v>0</v>
      </c>
      <c r="D24" s="56">
        <f t="shared" si="3"/>
        <v>0</v>
      </c>
      <c r="E24" s="56">
        <f t="shared" si="4"/>
        <v>0</v>
      </c>
      <c r="F24" s="175">
        <f t="shared" si="5"/>
        <v>0</v>
      </c>
      <c r="G24" s="655">
        <f t="shared" si="6"/>
        <v>0</v>
      </c>
      <c r="H24" s="656">
        <f t="shared" si="7"/>
        <v>0</v>
      </c>
    </row>
    <row r="25" spans="1:11" x14ac:dyDescent="0.25">
      <c r="A25" s="54">
        <f t="shared" si="8"/>
        <v>42</v>
      </c>
      <c r="B25" s="55">
        <f t="shared" si="1"/>
        <v>0</v>
      </c>
      <c r="C25" s="56">
        <f t="shared" si="2"/>
        <v>0</v>
      </c>
      <c r="D25" s="56">
        <f t="shared" si="3"/>
        <v>0</v>
      </c>
      <c r="E25" s="56">
        <f t="shared" si="4"/>
        <v>0</v>
      </c>
      <c r="F25" s="175">
        <f t="shared" si="5"/>
        <v>0</v>
      </c>
      <c r="G25" s="655">
        <f t="shared" si="6"/>
        <v>0</v>
      </c>
      <c r="H25" s="656">
        <f t="shared" si="7"/>
        <v>0</v>
      </c>
      <c r="I25" s="63"/>
    </row>
    <row r="26" spans="1:11" x14ac:dyDescent="0.25">
      <c r="A26" s="54">
        <f t="shared" si="8"/>
        <v>44</v>
      </c>
      <c r="B26" s="55">
        <f t="shared" si="1"/>
        <v>0</v>
      </c>
      <c r="C26" s="56">
        <f t="shared" si="2"/>
        <v>0</v>
      </c>
      <c r="D26" s="56">
        <f t="shared" si="3"/>
        <v>0</v>
      </c>
      <c r="E26" s="56">
        <f t="shared" si="4"/>
        <v>0</v>
      </c>
      <c r="F26" s="175">
        <f t="shared" si="5"/>
        <v>0</v>
      </c>
      <c r="G26" s="655">
        <f t="shared" si="6"/>
        <v>0</v>
      </c>
      <c r="H26" s="656">
        <f t="shared" si="7"/>
        <v>0</v>
      </c>
    </row>
    <row r="27" spans="1:11" x14ac:dyDescent="0.25">
      <c r="A27" s="54">
        <f t="shared" si="8"/>
        <v>46</v>
      </c>
      <c r="B27" s="55">
        <f t="shared" si="1"/>
        <v>0</v>
      </c>
      <c r="C27" s="56">
        <f t="shared" si="2"/>
        <v>0</v>
      </c>
      <c r="D27" s="56">
        <f t="shared" si="3"/>
        <v>0</v>
      </c>
      <c r="E27" s="56">
        <f t="shared" si="4"/>
        <v>0</v>
      </c>
      <c r="F27" s="175">
        <f t="shared" si="5"/>
        <v>0</v>
      </c>
      <c r="G27" s="655">
        <f t="shared" si="6"/>
        <v>0</v>
      </c>
      <c r="H27" s="656">
        <f t="shared" si="7"/>
        <v>0</v>
      </c>
    </row>
    <row r="28" spans="1:11" x14ac:dyDescent="0.25">
      <c r="A28" s="54">
        <f t="shared" si="8"/>
        <v>48</v>
      </c>
      <c r="B28" s="55">
        <f t="shared" si="1"/>
        <v>0</v>
      </c>
      <c r="C28" s="56">
        <f t="shared" si="2"/>
        <v>0</v>
      </c>
      <c r="D28" s="56">
        <f t="shared" si="3"/>
        <v>0</v>
      </c>
      <c r="E28" s="56">
        <f t="shared" si="4"/>
        <v>0</v>
      </c>
      <c r="F28" s="175">
        <f t="shared" si="5"/>
        <v>0</v>
      </c>
      <c r="G28" s="655">
        <f t="shared" si="6"/>
        <v>0</v>
      </c>
      <c r="H28" s="656">
        <f t="shared" si="7"/>
        <v>0</v>
      </c>
    </row>
    <row r="29" spans="1:11" x14ac:dyDescent="0.25">
      <c r="A29" s="54">
        <f t="shared" si="8"/>
        <v>50</v>
      </c>
      <c r="B29" s="55">
        <f t="shared" si="1"/>
        <v>0</v>
      </c>
      <c r="C29" s="56">
        <f t="shared" si="2"/>
        <v>0</v>
      </c>
      <c r="D29" s="56">
        <f t="shared" si="3"/>
        <v>0</v>
      </c>
      <c r="E29" s="56">
        <f t="shared" si="4"/>
        <v>0</v>
      </c>
      <c r="F29" s="175">
        <f t="shared" si="5"/>
        <v>0</v>
      </c>
      <c r="G29" s="655">
        <f t="shared" si="6"/>
        <v>0</v>
      </c>
      <c r="H29" s="656">
        <f t="shared" si="7"/>
        <v>0</v>
      </c>
    </row>
    <row r="30" spans="1:11" x14ac:dyDescent="0.25">
      <c r="A30" s="54">
        <f t="shared" si="8"/>
        <v>52</v>
      </c>
      <c r="B30" s="55">
        <f t="shared" si="1"/>
        <v>0</v>
      </c>
      <c r="C30" s="56">
        <f t="shared" si="2"/>
        <v>0</v>
      </c>
      <c r="D30" s="56">
        <f t="shared" si="3"/>
        <v>0</v>
      </c>
      <c r="E30" s="56">
        <f t="shared" si="4"/>
        <v>0</v>
      </c>
      <c r="F30" s="175">
        <f t="shared" si="5"/>
        <v>0</v>
      </c>
      <c r="G30" s="655">
        <f t="shared" si="6"/>
        <v>0</v>
      </c>
      <c r="H30" s="656">
        <f t="shared" si="7"/>
        <v>0</v>
      </c>
    </row>
    <row r="31" spans="1:11" x14ac:dyDescent="0.25">
      <c r="A31" s="54">
        <f t="shared" si="8"/>
        <v>54</v>
      </c>
      <c r="B31" s="55">
        <f t="shared" si="1"/>
        <v>0</v>
      </c>
      <c r="C31" s="56">
        <f t="shared" si="2"/>
        <v>0</v>
      </c>
      <c r="D31" s="56">
        <f t="shared" si="3"/>
        <v>0</v>
      </c>
      <c r="E31" s="56">
        <f t="shared" si="4"/>
        <v>0</v>
      </c>
      <c r="F31" s="175">
        <f t="shared" si="5"/>
        <v>0</v>
      </c>
      <c r="G31" s="655">
        <f t="shared" si="6"/>
        <v>0</v>
      </c>
      <c r="H31" s="656">
        <f t="shared" si="7"/>
        <v>0</v>
      </c>
    </row>
    <row r="32" spans="1:11" x14ac:dyDescent="0.25">
      <c r="A32" s="54">
        <f t="shared" si="8"/>
        <v>56</v>
      </c>
      <c r="B32" s="55">
        <f t="shared" si="1"/>
        <v>0</v>
      </c>
      <c r="C32" s="56">
        <f t="shared" si="2"/>
        <v>0</v>
      </c>
      <c r="D32" s="56">
        <f t="shared" si="3"/>
        <v>0</v>
      </c>
      <c r="E32" s="56">
        <f t="shared" si="4"/>
        <v>0</v>
      </c>
      <c r="F32" s="175">
        <f t="shared" si="5"/>
        <v>0</v>
      </c>
      <c r="G32" s="655">
        <f t="shared" si="6"/>
        <v>0</v>
      </c>
      <c r="H32" s="656">
        <f t="shared" si="7"/>
        <v>0</v>
      </c>
    </row>
    <row r="33" spans="1:8" x14ac:dyDescent="0.25">
      <c r="A33" s="54">
        <f t="shared" si="8"/>
        <v>58</v>
      </c>
      <c r="B33" s="55">
        <f t="shared" si="1"/>
        <v>0</v>
      </c>
      <c r="C33" s="56">
        <f t="shared" si="2"/>
        <v>0</v>
      </c>
      <c r="D33" s="56">
        <f t="shared" si="3"/>
        <v>0</v>
      </c>
      <c r="E33" s="56">
        <f t="shared" si="4"/>
        <v>0</v>
      </c>
      <c r="F33" s="175">
        <f t="shared" si="5"/>
        <v>0</v>
      </c>
      <c r="G33" s="655">
        <f t="shared" si="6"/>
        <v>0</v>
      </c>
      <c r="H33" s="656">
        <f t="shared" si="7"/>
        <v>0</v>
      </c>
    </row>
    <row r="34" spans="1:8" x14ac:dyDescent="0.25">
      <c r="A34" s="54">
        <f t="shared" si="8"/>
        <v>60</v>
      </c>
      <c r="B34" s="55">
        <f t="shared" si="1"/>
        <v>0</v>
      </c>
      <c r="C34" s="56">
        <f t="shared" si="2"/>
        <v>0</v>
      </c>
      <c r="D34" s="56">
        <f t="shared" si="3"/>
        <v>0</v>
      </c>
      <c r="E34" s="56">
        <f t="shared" si="4"/>
        <v>0</v>
      </c>
      <c r="F34" s="175">
        <f t="shared" si="5"/>
        <v>0</v>
      </c>
      <c r="G34" s="655">
        <f t="shared" si="6"/>
        <v>0</v>
      </c>
      <c r="H34" s="656">
        <f t="shared" si="7"/>
        <v>0</v>
      </c>
    </row>
    <row r="35" spans="1:8" x14ac:dyDescent="0.25">
      <c r="A35" s="54">
        <f t="shared" si="8"/>
        <v>62</v>
      </c>
      <c r="B35" s="55">
        <f t="shared" si="1"/>
        <v>0</v>
      </c>
      <c r="C35" s="56">
        <f t="shared" si="2"/>
        <v>0</v>
      </c>
      <c r="D35" s="56">
        <f t="shared" si="3"/>
        <v>0</v>
      </c>
      <c r="E35" s="56">
        <f t="shared" si="4"/>
        <v>0</v>
      </c>
      <c r="F35" s="175">
        <f t="shared" si="5"/>
        <v>0</v>
      </c>
      <c r="G35" s="655">
        <f t="shared" si="6"/>
        <v>0</v>
      </c>
      <c r="H35" s="656">
        <f t="shared" si="7"/>
        <v>0</v>
      </c>
    </row>
    <row r="36" spans="1:8" x14ac:dyDescent="0.25">
      <c r="A36" s="54">
        <f t="shared" si="8"/>
        <v>64</v>
      </c>
      <c r="B36" s="55">
        <f t="shared" si="1"/>
        <v>0</v>
      </c>
      <c r="C36" s="56">
        <f t="shared" si="2"/>
        <v>0</v>
      </c>
      <c r="D36" s="56">
        <f t="shared" si="3"/>
        <v>0</v>
      </c>
      <c r="E36" s="56">
        <f t="shared" si="4"/>
        <v>0</v>
      </c>
      <c r="F36" s="175">
        <f t="shared" si="5"/>
        <v>0</v>
      </c>
      <c r="G36" s="655">
        <f t="shared" si="6"/>
        <v>0</v>
      </c>
      <c r="H36" s="656">
        <f t="shared" si="7"/>
        <v>0</v>
      </c>
    </row>
    <row r="37" spans="1:8" x14ac:dyDescent="0.25">
      <c r="A37" s="54">
        <f t="shared" si="8"/>
        <v>66</v>
      </c>
      <c r="B37" s="55">
        <f t="shared" si="1"/>
        <v>0</v>
      </c>
      <c r="C37" s="56">
        <f t="shared" si="2"/>
        <v>0</v>
      </c>
      <c r="D37" s="56">
        <f t="shared" si="3"/>
        <v>0</v>
      </c>
      <c r="E37" s="56">
        <f t="shared" si="4"/>
        <v>0</v>
      </c>
      <c r="F37" s="175">
        <f t="shared" si="5"/>
        <v>0</v>
      </c>
      <c r="G37" s="655">
        <f t="shared" si="6"/>
        <v>0</v>
      </c>
      <c r="H37" s="656">
        <f t="shared" si="7"/>
        <v>0</v>
      </c>
    </row>
    <row r="38" spans="1:8" x14ac:dyDescent="0.25">
      <c r="A38" s="54">
        <f t="shared" si="8"/>
        <v>68</v>
      </c>
      <c r="B38" s="55">
        <f t="shared" si="1"/>
        <v>0</v>
      </c>
      <c r="C38" s="56">
        <f t="shared" si="2"/>
        <v>0</v>
      </c>
      <c r="D38" s="56">
        <f t="shared" si="3"/>
        <v>0</v>
      </c>
      <c r="E38" s="56">
        <f t="shared" si="4"/>
        <v>0</v>
      </c>
      <c r="F38" s="175">
        <f t="shared" si="5"/>
        <v>0</v>
      </c>
      <c r="G38" s="655">
        <f t="shared" si="6"/>
        <v>0</v>
      </c>
      <c r="H38" s="656">
        <f t="shared" si="7"/>
        <v>0</v>
      </c>
    </row>
    <row r="39" spans="1:8" x14ac:dyDescent="0.25">
      <c r="A39" s="54">
        <f t="shared" si="8"/>
        <v>70</v>
      </c>
      <c r="B39" s="55">
        <f t="shared" si="1"/>
        <v>0</v>
      </c>
      <c r="C39" s="56">
        <f t="shared" si="2"/>
        <v>0</v>
      </c>
      <c r="D39" s="56">
        <f t="shared" si="3"/>
        <v>0</v>
      </c>
      <c r="E39" s="56">
        <f t="shared" si="4"/>
        <v>0</v>
      </c>
      <c r="F39" s="175">
        <f t="shared" si="5"/>
        <v>0</v>
      </c>
      <c r="G39" s="655">
        <f t="shared" si="6"/>
        <v>0</v>
      </c>
      <c r="H39" s="656">
        <f t="shared" si="7"/>
        <v>0</v>
      </c>
    </row>
    <row r="40" spans="1:8" x14ac:dyDescent="0.25">
      <c r="A40" s="54">
        <f t="shared" si="8"/>
        <v>72</v>
      </c>
      <c r="B40" s="55">
        <f t="shared" si="1"/>
        <v>0</v>
      </c>
      <c r="C40" s="56">
        <f t="shared" si="2"/>
        <v>0</v>
      </c>
      <c r="D40" s="56">
        <f t="shared" si="3"/>
        <v>0</v>
      </c>
      <c r="E40" s="56">
        <f t="shared" si="4"/>
        <v>0</v>
      </c>
      <c r="F40" s="175">
        <f t="shared" si="5"/>
        <v>0</v>
      </c>
      <c r="G40" s="655">
        <f t="shared" si="6"/>
        <v>0</v>
      </c>
      <c r="H40" s="656">
        <f t="shared" si="7"/>
        <v>0</v>
      </c>
    </row>
    <row r="41" spans="1:8" x14ac:dyDescent="0.25">
      <c r="A41" s="54">
        <f t="shared" si="8"/>
        <v>74</v>
      </c>
      <c r="B41" s="55">
        <f t="shared" si="1"/>
        <v>0</v>
      </c>
      <c r="C41" s="56">
        <f t="shared" si="2"/>
        <v>0</v>
      </c>
      <c r="D41" s="56">
        <f t="shared" si="3"/>
        <v>0</v>
      </c>
      <c r="E41" s="56">
        <f t="shared" si="4"/>
        <v>0</v>
      </c>
      <c r="F41" s="175">
        <f t="shared" si="5"/>
        <v>0</v>
      </c>
      <c r="G41" s="655">
        <f t="shared" si="6"/>
        <v>0</v>
      </c>
      <c r="H41" s="656">
        <f t="shared" si="7"/>
        <v>0</v>
      </c>
    </row>
    <row r="42" spans="1:8" x14ac:dyDescent="0.25">
      <c r="A42" s="54">
        <f t="shared" si="8"/>
        <v>76</v>
      </c>
      <c r="B42" s="55">
        <f t="shared" si="1"/>
        <v>0</v>
      </c>
      <c r="C42" s="56">
        <f t="shared" si="2"/>
        <v>0</v>
      </c>
      <c r="D42" s="56">
        <f t="shared" si="3"/>
        <v>0</v>
      </c>
      <c r="E42" s="56">
        <f t="shared" si="4"/>
        <v>0</v>
      </c>
      <c r="F42" s="175">
        <f t="shared" si="5"/>
        <v>0</v>
      </c>
      <c r="G42" s="655">
        <f t="shared" si="6"/>
        <v>0</v>
      </c>
      <c r="H42" s="656">
        <f t="shared" si="7"/>
        <v>0</v>
      </c>
    </row>
    <row r="43" spans="1:8" x14ac:dyDescent="0.25">
      <c r="A43" s="54">
        <f t="shared" si="8"/>
        <v>78</v>
      </c>
      <c r="B43" s="55">
        <f t="shared" si="1"/>
        <v>0</v>
      </c>
      <c r="C43" s="56">
        <f t="shared" si="2"/>
        <v>0</v>
      </c>
      <c r="D43" s="56">
        <f t="shared" si="3"/>
        <v>0</v>
      </c>
      <c r="E43" s="56">
        <f t="shared" si="4"/>
        <v>0</v>
      </c>
      <c r="F43" s="175">
        <f t="shared" si="5"/>
        <v>0</v>
      </c>
      <c r="G43" s="655">
        <f t="shared" si="6"/>
        <v>0</v>
      </c>
      <c r="H43" s="656">
        <f t="shared" si="7"/>
        <v>0</v>
      </c>
    </row>
    <row r="44" spans="1:8" x14ac:dyDescent="0.25">
      <c r="A44" s="54">
        <f t="shared" si="8"/>
        <v>80</v>
      </c>
      <c r="B44" s="55">
        <f t="shared" si="1"/>
        <v>0</v>
      </c>
      <c r="C44" s="56">
        <f t="shared" si="2"/>
        <v>0</v>
      </c>
      <c r="D44" s="56">
        <f t="shared" si="3"/>
        <v>0</v>
      </c>
      <c r="E44" s="56">
        <f t="shared" si="4"/>
        <v>0</v>
      </c>
      <c r="F44" s="175">
        <f t="shared" si="5"/>
        <v>0</v>
      </c>
      <c r="G44" s="655">
        <f t="shared" si="6"/>
        <v>0</v>
      </c>
      <c r="H44" s="656">
        <f t="shared" si="7"/>
        <v>0</v>
      </c>
    </row>
    <row r="45" spans="1:8" x14ac:dyDescent="0.25">
      <c r="A45" s="54">
        <f t="shared" si="8"/>
        <v>82</v>
      </c>
      <c r="B45" s="55">
        <f t="shared" si="1"/>
        <v>0</v>
      </c>
      <c r="C45" s="56">
        <f t="shared" si="2"/>
        <v>0</v>
      </c>
      <c r="D45" s="56">
        <f t="shared" si="3"/>
        <v>0</v>
      </c>
      <c r="E45" s="56">
        <f t="shared" si="4"/>
        <v>0</v>
      </c>
      <c r="F45" s="175">
        <f t="shared" si="5"/>
        <v>0</v>
      </c>
      <c r="G45" s="655">
        <f t="shared" si="6"/>
        <v>0</v>
      </c>
      <c r="H45" s="656">
        <f t="shared" si="7"/>
        <v>0</v>
      </c>
    </row>
    <row r="46" spans="1:8" x14ac:dyDescent="0.25">
      <c r="A46" s="54">
        <f t="shared" si="8"/>
        <v>84</v>
      </c>
      <c r="B46" s="55">
        <f t="shared" si="1"/>
        <v>0</v>
      </c>
      <c r="C46" s="56">
        <f t="shared" si="2"/>
        <v>0</v>
      </c>
      <c r="D46" s="56">
        <f t="shared" si="3"/>
        <v>0</v>
      </c>
      <c r="E46" s="56">
        <f t="shared" si="4"/>
        <v>0</v>
      </c>
      <c r="F46" s="175">
        <f t="shared" si="5"/>
        <v>0</v>
      </c>
      <c r="G46" s="655">
        <f t="shared" si="6"/>
        <v>0</v>
      </c>
      <c r="H46" s="656">
        <f t="shared" si="7"/>
        <v>0</v>
      </c>
    </row>
    <row r="47" spans="1:8" x14ac:dyDescent="0.25">
      <c r="A47" s="54">
        <f t="shared" si="8"/>
        <v>86</v>
      </c>
      <c r="B47" s="55">
        <f t="shared" si="1"/>
        <v>0</v>
      </c>
      <c r="C47" s="56">
        <f t="shared" si="2"/>
        <v>0</v>
      </c>
      <c r="D47" s="56">
        <f t="shared" si="3"/>
        <v>0</v>
      </c>
      <c r="E47" s="56">
        <f t="shared" si="4"/>
        <v>0</v>
      </c>
      <c r="F47" s="175">
        <f t="shared" si="5"/>
        <v>0</v>
      </c>
      <c r="G47" s="655">
        <f t="shared" si="6"/>
        <v>0</v>
      </c>
      <c r="H47" s="656">
        <f t="shared" si="7"/>
        <v>0</v>
      </c>
    </row>
    <row r="48" spans="1:8" x14ac:dyDescent="0.25">
      <c r="A48" s="54">
        <f t="shared" si="8"/>
        <v>88</v>
      </c>
      <c r="B48" s="55">
        <f t="shared" si="1"/>
        <v>0</v>
      </c>
      <c r="C48" s="56">
        <f t="shared" si="2"/>
        <v>0</v>
      </c>
      <c r="D48" s="56">
        <f t="shared" si="3"/>
        <v>0</v>
      </c>
      <c r="E48" s="56">
        <f t="shared" si="4"/>
        <v>0</v>
      </c>
      <c r="F48" s="175">
        <f t="shared" si="5"/>
        <v>0</v>
      </c>
      <c r="G48" s="655">
        <f t="shared" si="6"/>
        <v>0</v>
      </c>
      <c r="H48" s="656">
        <f t="shared" si="7"/>
        <v>0</v>
      </c>
    </row>
    <row r="49" spans="1:8" x14ac:dyDescent="0.25">
      <c r="A49" s="54">
        <f t="shared" si="8"/>
        <v>90</v>
      </c>
      <c r="B49" s="55">
        <f t="shared" si="1"/>
        <v>0</v>
      </c>
      <c r="C49" s="56">
        <f t="shared" si="2"/>
        <v>0</v>
      </c>
      <c r="D49" s="56">
        <f t="shared" si="3"/>
        <v>0</v>
      </c>
      <c r="E49" s="56">
        <f t="shared" si="4"/>
        <v>0</v>
      </c>
      <c r="F49" s="175">
        <f t="shared" si="5"/>
        <v>0</v>
      </c>
      <c r="G49" s="655">
        <f t="shared" si="6"/>
        <v>0</v>
      </c>
      <c r="H49" s="656">
        <f t="shared" si="7"/>
        <v>0</v>
      </c>
    </row>
    <row r="50" spans="1:8" x14ac:dyDescent="0.25">
      <c r="A50" s="54">
        <f t="shared" si="8"/>
        <v>92</v>
      </c>
      <c r="B50" s="55">
        <f t="shared" si="1"/>
        <v>0</v>
      </c>
      <c r="C50" s="56">
        <f t="shared" si="2"/>
        <v>0</v>
      </c>
      <c r="D50" s="56">
        <f t="shared" si="3"/>
        <v>0</v>
      </c>
      <c r="E50" s="56">
        <f t="shared" si="4"/>
        <v>0</v>
      </c>
      <c r="F50" s="175">
        <f t="shared" si="5"/>
        <v>0</v>
      </c>
      <c r="G50" s="655">
        <f t="shared" si="6"/>
        <v>0</v>
      </c>
      <c r="H50" s="656">
        <f t="shared" si="7"/>
        <v>0</v>
      </c>
    </row>
    <row r="51" spans="1:8" x14ac:dyDescent="0.25">
      <c r="A51" s="54">
        <f t="shared" si="8"/>
        <v>94</v>
      </c>
      <c r="B51" s="55">
        <f t="shared" si="1"/>
        <v>0</v>
      </c>
      <c r="C51" s="56">
        <f t="shared" si="2"/>
        <v>0</v>
      </c>
      <c r="D51" s="56">
        <f t="shared" si="3"/>
        <v>0</v>
      </c>
      <c r="E51" s="56">
        <f t="shared" si="4"/>
        <v>0</v>
      </c>
      <c r="F51" s="175">
        <f t="shared" si="5"/>
        <v>0</v>
      </c>
      <c r="G51" s="655">
        <f t="shared" si="6"/>
        <v>0</v>
      </c>
      <c r="H51" s="656">
        <f t="shared" si="7"/>
        <v>0</v>
      </c>
    </row>
    <row r="52" spans="1:8" x14ac:dyDescent="0.25">
      <c r="A52" s="54">
        <f t="shared" si="8"/>
        <v>96</v>
      </c>
      <c r="B52" s="55">
        <f t="shared" si="1"/>
        <v>0</v>
      </c>
      <c r="C52" s="56">
        <f t="shared" si="2"/>
        <v>0</v>
      </c>
      <c r="D52" s="56">
        <f t="shared" si="3"/>
        <v>0</v>
      </c>
      <c r="E52" s="56">
        <f t="shared" si="4"/>
        <v>0</v>
      </c>
      <c r="F52" s="175">
        <f t="shared" si="5"/>
        <v>0</v>
      </c>
      <c r="G52" s="655">
        <f t="shared" si="6"/>
        <v>0</v>
      </c>
      <c r="H52" s="656">
        <f t="shared" si="7"/>
        <v>0</v>
      </c>
    </row>
    <row r="53" spans="1:8" x14ac:dyDescent="0.25">
      <c r="A53" s="54">
        <f t="shared" si="8"/>
        <v>98</v>
      </c>
      <c r="B53" s="55">
        <f t="shared" si="1"/>
        <v>0</v>
      </c>
      <c r="C53" s="56">
        <f t="shared" si="2"/>
        <v>0</v>
      </c>
      <c r="D53" s="56">
        <f t="shared" si="3"/>
        <v>0</v>
      </c>
      <c r="E53" s="56">
        <f t="shared" si="4"/>
        <v>0</v>
      </c>
      <c r="F53" s="175">
        <f t="shared" si="5"/>
        <v>0</v>
      </c>
      <c r="G53" s="655">
        <f t="shared" si="6"/>
        <v>0</v>
      </c>
      <c r="H53" s="656">
        <f t="shared" si="7"/>
        <v>0</v>
      </c>
    </row>
    <row r="54" spans="1:8" x14ac:dyDescent="0.25">
      <c r="A54" s="54">
        <f t="shared" si="8"/>
        <v>100</v>
      </c>
      <c r="B54" s="55">
        <f t="shared" si="1"/>
        <v>0</v>
      </c>
      <c r="C54" s="56">
        <f t="shared" si="2"/>
        <v>0</v>
      </c>
      <c r="D54" s="56">
        <f t="shared" si="3"/>
        <v>0</v>
      </c>
      <c r="E54" s="56">
        <f t="shared" si="4"/>
        <v>0</v>
      </c>
      <c r="F54" s="175">
        <f t="shared" si="5"/>
        <v>0</v>
      </c>
      <c r="G54" s="655">
        <f t="shared" si="6"/>
        <v>0</v>
      </c>
      <c r="H54" s="656">
        <f t="shared" si="7"/>
        <v>0</v>
      </c>
    </row>
    <row r="55" spans="1:8" x14ac:dyDescent="0.25">
      <c r="A55" s="54">
        <f t="shared" si="8"/>
        <v>102</v>
      </c>
      <c r="B55" s="55">
        <f t="shared" si="1"/>
        <v>0</v>
      </c>
      <c r="C55" s="56">
        <f t="shared" si="2"/>
        <v>0</v>
      </c>
      <c r="D55" s="56">
        <f t="shared" si="3"/>
        <v>0</v>
      </c>
      <c r="E55" s="56">
        <f t="shared" si="4"/>
        <v>0</v>
      </c>
      <c r="F55" s="175">
        <f t="shared" si="5"/>
        <v>0</v>
      </c>
      <c r="G55" s="655">
        <f t="shared" si="6"/>
        <v>0</v>
      </c>
      <c r="H55" s="656">
        <f t="shared" si="7"/>
        <v>0</v>
      </c>
    </row>
    <row r="56" spans="1:8" x14ac:dyDescent="0.25">
      <c r="A56" s="54">
        <f t="shared" si="8"/>
        <v>104</v>
      </c>
      <c r="B56" s="55">
        <f t="shared" si="1"/>
        <v>0</v>
      </c>
      <c r="C56" s="56">
        <f t="shared" si="2"/>
        <v>0</v>
      </c>
      <c r="D56" s="56">
        <f t="shared" si="3"/>
        <v>0</v>
      </c>
      <c r="E56" s="56">
        <f t="shared" si="4"/>
        <v>0</v>
      </c>
      <c r="F56" s="175">
        <f t="shared" si="5"/>
        <v>0</v>
      </c>
      <c r="G56" s="655">
        <f t="shared" si="6"/>
        <v>0</v>
      </c>
      <c r="H56" s="656">
        <f t="shared" si="7"/>
        <v>0</v>
      </c>
    </row>
    <row r="57" spans="1:8" x14ac:dyDescent="0.25">
      <c r="A57" s="54">
        <f t="shared" si="8"/>
        <v>106</v>
      </c>
      <c r="B57" s="55">
        <f t="shared" si="1"/>
        <v>0</v>
      </c>
      <c r="C57" s="56">
        <f t="shared" si="2"/>
        <v>0</v>
      </c>
      <c r="D57" s="56">
        <f t="shared" si="3"/>
        <v>0</v>
      </c>
      <c r="E57" s="56">
        <f t="shared" si="4"/>
        <v>0</v>
      </c>
      <c r="F57" s="175">
        <f t="shared" si="5"/>
        <v>0</v>
      </c>
      <c r="G57" s="655">
        <f t="shared" si="6"/>
        <v>0</v>
      </c>
      <c r="H57" s="656">
        <f t="shared" si="7"/>
        <v>0</v>
      </c>
    </row>
    <row r="58" spans="1:8" x14ac:dyDescent="0.25">
      <c r="A58" s="54">
        <f t="shared" si="8"/>
        <v>108</v>
      </c>
      <c r="B58" s="55">
        <f t="shared" si="1"/>
        <v>0</v>
      </c>
      <c r="C58" s="56">
        <f t="shared" si="2"/>
        <v>0</v>
      </c>
      <c r="D58" s="56">
        <f t="shared" si="3"/>
        <v>0</v>
      </c>
      <c r="E58" s="56">
        <f t="shared" si="4"/>
        <v>0</v>
      </c>
      <c r="F58" s="175">
        <f t="shared" si="5"/>
        <v>0</v>
      </c>
      <c r="G58" s="655">
        <f t="shared" si="6"/>
        <v>0</v>
      </c>
      <c r="H58" s="656">
        <f t="shared" si="7"/>
        <v>0</v>
      </c>
    </row>
    <row r="59" spans="1:8" x14ac:dyDescent="0.25">
      <c r="A59" s="54">
        <f t="shared" si="8"/>
        <v>110</v>
      </c>
      <c r="B59" s="55">
        <f t="shared" si="1"/>
        <v>0</v>
      </c>
      <c r="C59" s="56">
        <f t="shared" si="2"/>
        <v>0</v>
      </c>
      <c r="D59" s="56">
        <f t="shared" si="3"/>
        <v>0</v>
      </c>
      <c r="E59" s="56">
        <f t="shared" si="4"/>
        <v>0</v>
      </c>
      <c r="F59" s="175">
        <f t="shared" si="5"/>
        <v>0</v>
      </c>
      <c r="G59" s="655">
        <f t="shared" si="6"/>
        <v>0</v>
      </c>
      <c r="H59" s="656">
        <f t="shared" si="7"/>
        <v>0</v>
      </c>
    </row>
    <row r="60" spans="1:8" x14ac:dyDescent="0.25">
      <c r="A60" s="54">
        <f t="shared" si="8"/>
        <v>112</v>
      </c>
      <c r="B60" s="55">
        <f t="shared" si="1"/>
        <v>0</v>
      </c>
      <c r="C60" s="56">
        <f t="shared" si="2"/>
        <v>0</v>
      </c>
      <c r="D60" s="56">
        <f t="shared" si="3"/>
        <v>0</v>
      </c>
      <c r="E60" s="56">
        <f t="shared" si="4"/>
        <v>0</v>
      </c>
      <c r="F60" s="175">
        <f t="shared" si="5"/>
        <v>0</v>
      </c>
      <c r="G60" s="655">
        <f t="shared" si="6"/>
        <v>0</v>
      </c>
      <c r="H60" s="656">
        <f t="shared" si="7"/>
        <v>0</v>
      </c>
    </row>
    <row r="61" spans="1:8" x14ac:dyDescent="0.25">
      <c r="A61" s="54">
        <f t="shared" si="8"/>
        <v>114</v>
      </c>
      <c r="B61" s="55">
        <f t="shared" si="1"/>
        <v>0</v>
      </c>
      <c r="C61" s="56">
        <f t="shared" si="2"/>
        <v>0</v>
      </c>
      <c r="D61" s="56">
        <f t="shared" si="3"/>
        <v>0</v>
      </c>
      <c r="E61" s="56">
        <f t="shared" si="4"/>
        <v>0</v>
      </c>
      <c r="F61" s="175">
        <f t="shared" si="5"/>
        <v>0</v>
      </c>
      <c r="G61" s="655">
        <f t="shared" si="6"/>
        <v>0</v>
      </c>
      <c r="H61" s="656">
        <f t="shared" si="7"/>
        <v>0</v>
      </c>
    </row>
    <row r="62" spans="1:8" x14ac:dyDescent="0.25">
      <c r="A62" s="54">
        <f t="shared" si="8"/>
        <v>116</v>
      </c>
      <c r="B62" s="55">
        <f t="shared" si="1"/>
        <v>0</v>
      </c>
      <c r="C62" s="56">
        <f t="shared" si="2"/>
        <v>0</v>
      </c>
      <c r="D62" s="56">
        <f t="shared" si="3"/>
        <v>0</v>
      </c>
      <c r="E62" s="56">
        <f t="shared" si="4"/>
        <v>0</v>
      </c>
      <c r="F62" s="175">
        <f t="shared" si="5"/>
        <v>0</v>
      </c>
      <c r="G62" s="655">
        <f t="shared" si="6"/>
        <v>0</v>
      </c>
      <c r="H62" s="656">
        <f t="shared" si="7"/>
        <v>0</v>
      </c>
    </row>
    <row r="63" spans="1:8" x14ac:dyDescent="0.25">
      <c r="A63" s="54">
        <f t="shared" si="8"/>
        <v>118</v>
      </c>
      <c r="B63" s="55">
        <f t="shared" si="1"/>
        <v>0</v>
      </c>
      <c r="C63" s="56">
        <f t="shared" si="2"/>
        <v>0</v>
      </c>
      <c r="D63" s="56">
        <f t="shared" si="3"/>
        <v>0</v>
      </c>
      <c r="E63" s="56">
        <f t="shared" si="4"/>
        <v>0</v>
      </c>
      <c r="F63" s="175">
        <f t="shared" si="5"/>
        <v>0</v>
      </c>
      <c r="G63" s="655">
        <f t="shared" si="6"/>
        <v>0</v>
      </c>
      <c r="H63" s="656">
        <f t="shared" si="7"/>
        <v>0</v>
      </c>
    </row>
    <row r="64" spans="1:8" x14ac:dyDescent="0.25">
      <c r="A64" s="54">
        <f t="shared" si="8"/>
        <v>120</v>
      </c>
      <c r="B64" s="55">
        <f t="shared" si="1"/>
        <v>0</v>
      </c>
      <c r="C64" s="56">
        <f t="shared" si="2"/>
        <v>0</v>
      </c>
      <c r="D64" s="56">
        <f t="shared" si="3"/>
        <v>0</v>
      </c>
      <c r="E64" s="56">
        <f t="shared" si="4"/>
        <v>0</v>
      </c>
      <c r="F64" s="175">
        <f t="shared" si="5"/>
        <v>0</v>
      </c>
      <c r="G64" s="655">
        <f t="shared" si="6"/>
        <v>1000</v>
      </c>
      <c r="H64" s="656">
        <f t="shared" si="7"/>
        <v>-1000</v>
      </c>
    </row>
    <row r="65" spans="1:8" x14ac:dyDescent="0.25">
      <c r="A65" s="54">
        <f t="shared" si="8"/>
        <v>122</v>
      </c>
      <c r="B65" s="55">
        <f t="shared" si="1"/>
        <v>40000.00000000227</v>
      </c>
      <c r="C65" s="56">
        <f t="shared" si="2"/>
        <v>-39000.00000000227</v>
      </c>
      <c r="D65" s="56">
        <f t="shared" si="3"/>
        <v>0</v>
      </c>
      <c r="E65" s="56">
        <f t="shared" si="4"/>
        <v>0</v>
      </c>
      <c r="F65" s="175">
        <f t="shared" si="5"/>
        <v>1000</v>
      </c>
      <c r="G65" s="655">
        <f t="shared" si="6"/>
        <v>1000</v>
      </c>
      <c r="H65" s="656">
        <f t="shared" si="7"/>
        <v>0</v>
      </c>
    </row>
    <row r="66" spans="1:8" x14ac:dyDescent="0.25">
      <c r="A66" s="54">
        <f t="shared" si="8"/>
        <v>124</v>
      </c>
      <c r="B66" s="55">
        <f t="shared" si="1"/>
        <v>80000.00000000454</v>
      </c>
      <c r="C66" s="56">
        <f t="shared" si="2"/>
        <v>-79000.00000000454</v>
      </c>
      <c r="D66" s="56">
        <f t="shared" si="3"/>
        <v>0</v>
      </c>
      <c r="E66" s="56">
        <f t="shared" si="4"/>
        <v>0</v>
      </c>
      <c r="F66" s="175">
        <f t="shared" si="5"/>
        <v>1000</v>
      </c>
      <c r="G66" s="655">
        <f t="shared" si="6"/>
        <v>1000</v>
      </c>
      <c r="H66" s="656">
        <f t="shared" si="7"/>
        <v>0</v>
      </c>
    </row>
    <row r="67" spans="1:8" x14ac:dyDescent="0.25">
      <c r="A67" s="54">
        <f t="shared" si="8"/>
        <v>126</v>
      </c>
      <c r="B67" s="55">
        <f t="shared" si="1"/>
        <v>120000.00000000681</v>
      </c>
      <c r="C67" s="56">
        <f t="shared" si="2"/>
        <v>-119000.00000000681</v>
      </c>
      <c r="D67" s="56">
        <f t="shared" si="3"/>
        <v>0</v>
      </c>
      <c r="E67" s="56">
        <f t="shared" si="4"/>
        <v>0</v>
      </c>
      <c r="F67" s="175">
        <f t="shared" si="5"/>
        <v>1000</v>
      </c>
      <c r="G67" s="655">
        <f t="shared" si="6"/>
        <v>1000</v>
      </c>
      <c r="H67" s="656">
        <f t="shared" si="7"/>
        <v>0</v>
      </c>
    </row>
    <row r="68" spans="1:8" x14ac:dyDescent="0.25">
      <c r="A68" s="54">
        <f t="shared" si="8"/>
        <v>128</v>
      </c>
      <c r="B68" s="55">
        <f t="shared" si="1"/>
        <v>160000.00000000908</v>
      </c>
      <c r="C68" s="56">
        <f t="shared" si="2"/>
        <v>-159000.00000000908</v>
      </c>
      <c r="D68" s="56">
        <f t="shared" si="3"/>
        <v>0</v>
      </c>
      <c r="E68" s="56">
        <f t="shared" si="4"/>
        <v>0</v>
      </c>
      <c r="F68" s="175">
        <f t="shared" si="5"/>
        <v>1000</v>
      </c>
      <c r="G68" s="655">
        <f t="shared" si="6"/>
        <v>1000</v>
      </c>
      <c r="H68" s="656">
        <f t="shared" si="7"/>
        <v>0</v>
      </c>
    </row>
    <row r="69" spans="1:8" x14ac:dyDescent="0.25">
      <c r="A69" s="54">
        <f t="shared" si="8"/>
        <v>130</v>
      </c>
      <c r="B69" s="55">
        <f t="shared" ref="B69:B104" si="9">(MAX(IF($B$1="C",1,-1)*(A69-$K$5),0)-IF($K$10="Y",$K$13*EXP($K$6*$K$9),0))*$K$4</f>
        <v>200000.00000001135</v>
      </c>
      <c r="C69" s="56">
        <f t="shared" ref="C69:C104" si="10">(MAX(IF($C$1="C",1,-1)*(A69-$L$5),0)-IF($K$10="Y",$L$13*EXP($K$6*$K$9),0))*$L$4</f>
        <v>-199000.00000001135</v>
      </c>
      <c r="D69" s="56">
        <f t="shared" ref="D69:D104" si="11">(MAX(IF($D$1="C",1,-1)*(A69-$M$5),0)-IF($K$10="Y",$M$13*EXP($K$6*$K$9),0))*$M$4</f>
        <v>0</v>
      </c>
      <c r="E69" s="56">
        <f t="shared" ref="E69:E104" si="12">(MAX(IF($E$1="C",1,-1)*(A69-$N$5),0)-IF($K$10="Y",$N$13*EXP($K$6*$K$9),0))*$N$4</f>
        <v>0</v>
      </c>
      <c r="F69" s="175">
        <f t="shared" ref="F69:F104" si="13">SUM(B69:E69)</f>
        <v>1000</v>
      </c>
      <c r="G69" s="655">
        <f t="shared" ref="G69:G104" si="14">IF(A69&lt;$K$16,0,$K$17)</f>
        <v>1000</v>
      </c>
      <c r="H69" s="656">
        <f t="shared" ref="H69:H104" si="15">F69-G69</f>
        <v>0</v>
      </c>
    </row>
    <row r="70" spans="1:8" x14ac:dyDescent="0.25">
      <c r="A70" s="54">
        <f t="shared" ref="A70:A104" si="16">A69+2</f>
        <v>132</v>
      </c>
      <c r="B70" s="55">
        <f t="shared" si="9"/>
        <v>240000.00000001362</v>
      </c>
      <c r="C70" s="56">
        <f t="shared" si="10"/>
        <v>-239000.00000001362</v>
      </c>
      <c r="D70" s="56">
        <f t="shared" si="11"/>
        <v>0</v>
      </c>
      <c r="E70" s="56">
        <f t="shared" si="12"/>
        <v>0</v>
      </c>
      <c r="F70" s="175">
        <f t="shared" si="13"/>
        <v>1000</v>
      </c>
      <c r="G70" s="655">
        <f t="shared" si="14"/>
        <v>1000</v>
      </c>
      <c r="H70" s="656">
        <f t="shared" si="15"/>
        <v>0</v>
      </c>
    </row>
    <row r="71" spans="1:8" x14ac:dyDescent="0.25">
      <c r="A71" s="54">
        <f t="shared" si="16"/>
        <v>134</v>
      </c>
      <c r="B71" s="55">
        <f t="shared" si="9"/>
        <v>280000.00000001589</v>
      </c>
      <c r="C71" s="56">
        <f t="shared" si="10"/>
        <v>-279000.00000001589</v>
      </c>
      <c r="D71" s="56">
        <f t="shared" si="11"/>
        <v>0</v>
      </c>
      <c r="E71" s="56">
        <f t="shared" si="12"/>
        <v>0</v>
      </c>
      <c r="F71" s="175">
        <f t="shared" si="13"/>
        <v>1000</v>
      </c>
      <c r="G71" s="655">
        <f t="shared" si="14"/>
        <v>1000</v>
      </c>
      <c r="H71" s="656">
        <f t="shared" si="15"/>
        <v>0</v>
      </c>
    </row>
    <row r="72" spans="1:8" x14ac:dyDescent="0.25">
      <c r="A72" s="54">
        <f t="shared" si="16"/>
        <v>136</v>
      </c>
      <c r="B72" s="55">
        <f t="shared" si="9"/>
        <v>320000.00000001816</v>
      </c>
      <c r="C72" s="56">
        <f t="shared" si="10"/>
        <v>-319000.00000001816</v>
      </c>
      <c r="D72" s="56">
        <f t="shared" si="11"/>
        <v>0</v>
      </c>
      <c r="E72" s="56">
        <f t="shared" si="12"/>
        <v>0</v>
      </c>
      <c r="F72" s="175">
        <f t="shared" si="13"/>
        <v>1000</v>
      </c>
      <c r="G72" s="655">
        <f t="shared" si="14"/>
        <v>1000</v>
      </c>
      <c r="H72" s="656">
        <f t="shared" si="15"/>
        <v>0</v>
      </c>
    </row>
    <row r="73" spans="1:8" x14ac:dyDescent="0.25">
      <c r="A73" s="54">
        <f t="shared" si="16"/>
        <v>138</v>
      </c>
      <c r="B73" s="55">
        <f t="shared" si="9"/>
        <v>360000.00000002043</v>
      </c>
      <c r="C73" s="56">
        <f t="shared" si="10"/>
        <v>-359000.00000002043</v>
      </c>
      <c r="D73" s="56">
        <f t="shared" si="11"/>
        <v>0</v>
      </c>
      <c r="E73" s="56">
        <f t="shared" si="12"/>
        <v>0</v>
      </c>
      <c r="F73" s="175">
        <f t="shared" si="13"/>
        <v>1000</v>
      </c>
      <c r="G73" s="655">
        <f t="shared" si="14"/>
        <v>1000</v>
      </c>
      <c r="H73" s="656">
        <f t="shared" si="15"/>
        <v>0</v>
      </c>
    </row>
    <row r="74" spans="1:8" x14ac:dyDescent="0.25">
      <c r="A74" s="54">
        <f t="shared" si="16"/>
        <v>140</v>
      </c>
      <c r="B74" s="55">
        <f t="shared" si="9"/>
        <v>400000.0000000227</v>
      </c>
      <c r="C74" s="56">
        <f t="shared" si="10"/>
        <v>-399000.0000000227</v>
      </c>
      <c r="D74" s="56">
        <f t="shared" si="11"/>
        <v>0</v>
      </c>
      <c r="E74" s="56">
        <f t="shared" si="12"/>
        <v>0</v>
      </c>
      <c r="F74" s="175">
        <f t="shared" si="13"/>
        <v>1000</v>
      </c>
      <c r="G74" s="655">
        <f t="shared" si="14"/>
        <v>1000</v>
      </c>
      <c r="H74" s="656">
        <f t="shared" si="15"/>
        <v>0</v>
      </c>
    </row>
    <row r="75" spans="1:8" x14ac:dyDescent="0.25">
      <c r="A75" s="54">
        <f t="shared" si="16"/>
        <v>142</v>
      </c>
      <c r="B75" s="55">
        <f t="shared" si="9"/>
        <v>440000.00000002497</v>
      </c>
      <c r="C75" s="56">
        <f t="shared" si="10"/>
        <v>-439000.00000002497</v>
      </c>
      <c r="D75" s="56">
        <f t="shared" si="11"/>
        <v>0</v>
      </c>
      <c r="E75" s="56">
        <f t="shared" si="12"/>
        <v>0</v>
      </c>
      <c r="F75" s="175">
        <f t="shared" si="13"/>
        <v>1000</v>
      </c>
      <c r="G75" s="655">
        <f t="shared" si="14"/>
        <v>1000</v>
      </c>
      <c r="H75" s="656">
        <f t="shared" si="15"/>
        <v>0</v>
      </c>
    </row>
    <row r="76" spans="1:8" x14ac:dyDescent="0.25">
      <c r="A76" s="54">
        <f t="shared" si="16"/>
        <v>144</v>
      </c>
      <c r="B76" s="55">
        <f t="shared" si="9"/>
        <v>480000.00000002724</v>
      </c>
      <c r="C76" s="56">
        <f t="shared" si="10"/>
        <v>-479000.00000002724</v>
      </c>
      <c r="D76" s="56">
        <f t="shared" si="11"/>
        <v>0</v>
      </c>
      <c r="E76" s="56">
        <f t="shared" si="12"/>
        <v>0</v>
      </c>
      <c r="F76" s="175">
        <f t="shared" si="13"/>
        <v>1000</v>
      </c>
      <c r="G76" s="655">
        <f t="shared" si="14"/>
        <v>1000</v>
      </c>
      <c r="H76" s="656">
        <f t="shared" si="15"/>
        <v>0</v>
      </c>
    </row>
    <row r="77" spans="1:8" x14ac:dyDescent="0.25">
      <c r="A77" s="54">
        <f t="shared" si="16"/>
        <v>146</v>
      </c>
      <c r="B77" s="55">
        <f t="shared" si="9"/>
        <v>520000.00000002951</v>
      </c>
      <c r="C77" s="56">
        <f t="shared" si="10"/>
        <v>-519000.00000002951</v>
      </c>
      <c r="D77" s="56">
        <f t="shared" si="11"/>
        <v>0</v>
      </c>
      <c r="E77" s="56">
        <f t="shared" si="12"/>
        <v>0</v>
      </c>
      <c r="F77" s="175">
        <f t="shared" si="13"/>
        <v>1000</v>
      </c>
      <c r="G77" s="655">
        <f t="shared" si="14"/>
        <v>1000</v>
      </c>
      <c r="H77" s="656">
        <f t="shared" si="15"/>
        <v>0</v>
      </c>
    </row>
    <row r="78" spans="1:8" x14ac:dyDescent="0.25">
      <c r="A78" s="54">
        <f t="shared" si="16"/>
        <v>148</v>
      </c>
      <c r="B78" s="55">
        <f t="shared" si="9"/>
        <v>560000.00000003178</v>
      </c>
      <c r="C78" s="56">
        <f t="shared" si="10"/>
        <v>-559000.00000003178</v>
      </c>
      <c r="D78" s="56">
        <f t="shared" si="11"/>
        <v>0</v>
      </c>
      <c r="E78" s="56">
        <f t="shared" si="12"/>
        <v>0</v>
      </c>
      <c r="F78" s="175">
        <f t="shared" si="13"/>
        <v>1000</v>
      </c>
      <c r="G78" s="655">
        <f t="shared" si="14"/>
        <v>1000</v>
      </c>
      <c r="H78" s="656">
        <f t="shared" si="15"/>
        <v>0</v>
      </c>
    </row>
    <row r="79" spans="1:8" x14ac:dyDescent="0.25">
      <c r="A79" s="54">
        <f t="shared" si="16"/>
        <v>150</v>
      </c>
      <c r="B79" s="55">
        <f t="shared" si="9"/>
        <v>600000.00000003399</v>
      </c>
      <c r="C79" s="56">
        <f t="shared" si="10"/>
        <v>-599000.00000003411</v>
      </c>
      <c r="D79" s="56">
        <f t="shared" si="11"/>
        <v>0</v>
      </c>
      <c r="E79" s="56">
        <f t="shared" si="12"/>
        <v>0</v>
      </c>
      <c r="F79" s="175">
        <f t="shared" si="13"/>
        <v>999.99999999988358</v>
      </c>
      <c r="G79" s="655">
        <f t="shared" si="14"/>
        <v>1000</v>
      </c>
      <c r="H79" s="656">
        <f t="shared" si="15"/>
        <v>-1.1641532182693481E-10</v>
      </c>
    </row>
    <row r="80" spans="1:8" x14ac:dyDescent="0.25">
      <c r="A80" s="54">
        <f t="shared" si="16"/>
        <v>152</v>
      </c>
      <c r="B80" s="55">
        <f t="shared" si="9"/>
        <v>640000.00000003632</v>
      </c>
      <c r="C80" s="56">
        <f t="shared" si="10"/>
        <v>-639000.00000003632</v>
      </c>
      <c r="D80" s="56">
        <f t="shared" si="11"/>
        <v>0</v>
      </c>
      <c r="E80" s="56">
        <f t="shared" si="12"/>
        <v>0</v>
      </c>
      <c r="F80" s="175">
        <f t="shared" si="13"/>
        <v>1000</v>
      </c>
      <c r="G80" s="655">
        <f t="shared" si="14"/>
        <v>1000</v>
      </c>
      <c r="H80" s="656">
        <f t="shared" si="15"/>
        <v>0</v>
      </c>
    </row>
    <row r="81" spans="1:8" x14ac:dyDescent="0.25">
      <c r="A81" s="54">
        <f t="shared" si="16"/>
        <v>154</v>
      </c>
      <c r="B81" s="55">
        <f t="shared" si="9"/>
        <v>680000.00000003865</v>
      </c>
      <c r="C81" s="56">
        <f t="shared" si="10"/>
        <v>-679000.00000003865</v>
      </c>
      <c r="D81" s="56">
        <f t="shared" si="11"/>
        <v>0</v>
      </c>
      <c r="E81" s="56">
        <f t="shared" si="12"/>
        <v>0</v>
      </c>
      <c r="F81" s="175">
        <f t="shared" si="13"/>
        <v>1000</v>
      </c>
      <c r="G81" s="655">
        <f t="shared" si="14"/>
        <v>1000</v>
      </c>
      <c r="H81" s="656">
        <f t="shared" si="15"/>
        <v>0</v>
      </c>
    </row>
    <row r="82" spans="1:8" x14ac:dyDescent="0.25">
      <c r="A82" s="54">
        <f t="shared" si="16"/>
        <v>156</v>
      </c>
      <c r="B82" s="55">
        <f t="shared" si="9"/>
        <v>720000.00000004086</v>
      </c>
      <c r="C82" s="56">
        <f t="shared" si="10"/>
        <v>-719000.00000004086</v>
      </c>
      <c r="D82" s="56">
        <f t="shared" si="11"/>
        <v>0</v>
      </c>
      <c r="E82" s="56">
        <f t="shared" si="12"/>
        <v>0</v>
      </c>
      <c r="F82" s="175">
        <f t="shared" si="13"/>
        <v>1000</v>
      </c>
      <c r="G82" s="655">
        <f t="shared" si="14"/>
        <v>1000</v>
      </c>
      <c r="H82" s="656">
        <f t="shared" si="15"/>
        <v>0</v>
      </c>
    </row>
    <row r="83" spans="1:8" x14ac:dyDescent="0.25">
      <c r="A83" s="54">
        <f t="shared" si="16"/>
        <v>158</v>
      </c>
      <c r="B83" s="55">
        <f t="shared" si="9"/>
        <v>760000.00000004307</v>
      </c>
      <c r="C83" s="56">
        <f t="shared" si="10"/>
        <v>-759000.00000004319</v>
      </c>
      <c r="D83" s="56">
        <f t="shared" si="11"/>
        <v>0</v>
      </c>
      <c r="E83" s="56">
        <f t="shared" si="12"/>
        <v>0</v>
      </c>
      <c r="F83" s="175">
        <f t="shared" si="13"/>
        <v>999.99999999988358</v>
      </c>
      <c r="G83" s="655">
        <f t="shared" si="14"/>
        <v>1000</v>
      </c>
      <c r="H83" s="656">
        <f t="shared" si="15"/>
        <v>-1.1641532182693481E-10</v>
      </c>
    </row>
    <row r="84" spans="1:8" x14ac:dyDescent="0.25">
      <c r="A84" s="54">
        <f t="shared" si="16"/>
        <v>160</v>
      </c>
      <c r="B84" s="55">
        <f t="shared" si="9"/>
        <v>800000.0000000454</v>
      </c>
      <c r="C84" s="56">
        <f t="shared" si="10"/>
        <v>-799000.0000000454</v>
      </c>
      <c r="D84" s="56">
        <f t="shared" si="11"/>
        <v>0</v>
      </c>
      <c r="E84" s="56">
        <f t="shared" si="12"/>
        <v>0</v>
      </c>
      <c r="F84" s="175">
        <f t="shared" si="13"/>
        <v>1000</v>
      </c>
      <c r="G84" s="655">
        <f t="shared" si="14"/>
        <v>1000</v>
      </c>
      <c r="H84" s="656">
        <f t="shared" si="15"/>
        <v>0</v>
      </c>
    </row>
    <row r="85" spans="1:8" x14ac:dyDescent="0.25">
      <c r="A85" s="54">
        <f t="shared" si="16"/>
        <v>162</v>
      </c>
      <c r="B85" s="55">
        <f t="shared" si="9"/>
        <v>840000.00000004773</v>
      </c>
      <c r="C85" s="56">
        <f t="shared" si="10"/>
        <v>-839000.00000004773</v>
      </c>
      <c r="D85" s="56">
        <f t="shared" si="11"/>
        <v>0</v>
      </c>
      <c r="E85" s="56">
        <f t="shared" si="12"/>
        <v>0</v>
      </c>
      <c r="F85" s="175">
        <f t="shared" si="13"/>
        <v>1000</v>
      </c>
      <c r="G85" s="655">
        <f t="shared" si="14"/>
        <v>1000</v>
      </c>
      <c r="H85" s="656">
        <f t="shared" si="15"/>
        <v>0</v>
      </c>
    </row>
    <row r="86" spans="1:8" x14ac:dyDescent="0.25">
      <c r="A86" s="54">
        <f t="shared" si="16"/>
        <v>164</v>
      </c>
      <c r="B86" s="55">
        <f t="shared" si="9"/>
        <v>880000.00000004994</v>
      </c>
      <c r="C86" s="56">
        <f t="shared" si="10"/>
        <v>-879000.00000004994</v>
      </c>
      <c r="D86" s="56">
        <f t="shared" si="11"/>
        <v>0</v>
      </c>
      <c r="E86" s="56">
        <f t="shared" si="12"/>
        <v>0</v>
      </c>
      <c r="F86" s="175">
        <f t="shared" si="13"/>
        <v>1000</v>
      </c>
      <c r="G86" s="655">
        <f t="shared" si="14"/>
        <v>1000</v>
      </c>
      <c r="H86" s="656">
        <f t="shared" si="15"/>
        <v>0</v>
      </c>
    </row>
    <row r="87" spans="1:8" x14ac:dyDescent="0.25">
      <c r="A87" s="54">
        <f t="shared" si="16"/>
        <v>166</v>
      </c>
      <c r="B87" s="55">
        <f t="shared" si="9"/>
        <v>920000.00000005215</v>
      </c>
      <c r="C87" s="56">
        <f t="shared" si="10"/>
        <v>-919000.00000005227</v>
      </c>
      <c r="D87" s="56">
        <f t="shared" si="11"/>
        <v>0</v>
      </c>
      <c r="E87" s="56">
        <f t="shared" si="12"/>
        <v>0</v>
      </c>
      <c r="F87" s="175">
        <f t="shared" si="13"/>
        <v>999.99999999988358</v>
      </c>
      <c r="G87" s="655">
        <f t="shared" si="14"/>
        <v>1000</v>
      </c>
      <c r="H87" s="656">
        <f t="shared" si="15"/>
        <v>-1.1641532182693481E-10</v>
      </c>
    </row>
    <row r="88" spans="1:8" x14ac:dyDescent="0.25">
      <c r="A88" s="54">
        <f t="shared" si="16"/>
        <v>168</v>
      </c>
      <c r="B88" s="55">
        <f t="shared" si="9"/>
        <v>960000.00000005448</v>
      </c>
      <c r="C88" s="56">
        <f t="shared" si="10"/>
        <v>-959000.00000005448</v>
      </c>
      <c r="D88" s="56">
        <f t="shared" si="11"/>
        <v>0</v>
      </c>
      <c r="E88" s="56">
        <f t="shared" si="12"/>
        <v>0</v>
      </c>
      <c r="F88" s="175">
        <f t="shared" si="13"/>
        <v>1000</v>
      </c>
      <c r="G88" s="655">
        <f t="shared" si="14"/>
        <v>1000</v>
      </c>
      <c r="H88" s="656">
        <f t="shared" si="15"/>
        <v>0</v>
      </c>
    </row>
    <row r="89" spans="1:8" x14ac:dyDescent="0.25">
      <c r="A89" s="54">
        <f t="shared" si="16"/>
        <v>170</v>
      </c>
      <c r="B89" s="55">
        <f t="shared" si="9"/>
        <v>1000000.0000000568</v>
      </c>
      <c r="C89" s="56">
        <f t="shared" si="10"/>
        <v>-999000.00000005681</v>
      </c>
      <c r="D89" s="56">
        <f t="shared" si="11"/>
        <v>0</v>
      </c>
      <c r="E89" s="56">
        <f t="shared" si="12"/>
        <v>0</v>
      </c>
      <c r="F89" s="175">
        <f t="shared" si="13"/>
        <v>1000</v>
      </c>
      <c r="G89" s="655">
        <f t="shared" si="14"/>
        <v>1000</v>
      </c>
      <c r="H89" s="656">
        <f t="shared" si="15"/>
        <v>0</v>
      </c>
    </row>
    <row r="90" spans="1:8" x14ac:dyDescent="0.25">
      <c r="A90" s="54">
        <f t="shared" si="16"/>
        <v>172</v>
      </c>
      <c r="B90" s="55">
        <f t="shared" si="9"/>
        <v>1040000.000000059</v>
      </c>
      <c r="C90" s="56">
        <f t="shared" si="10"/>
        <v>-1039000.000000059</v>
      </c>
      <c r="D90" s="56">
        <f t="shared" si="11"/>
        <v>0</v>
      </c>
      <c r="E90" s="56">
        <f t="shared" si="12"/>
        <v>0</v>
      </c>
      <c r="F90" s="175">
        <f t="shared" si="13"/>
        <v>1000</v>
      </c>
      <c r="G90" s="655">
        <f t="shared" si="14"/>
        <v>1000</v>
      </c>
      <c r="H90" s="656">
        <f t="shared" si="15"/>
        <v>0</v>
      </c>
    </row>
    <row r="91" spans="1:8" x14ac:dyDescent="0.25">
      <c r="A91" s="54">
        <f t="shared" si="16"/>
        <v>174</v>
      </c>
      <c r="B91" s="55">
        <f t="shared" si="9"/>
        <v>1080000.0000000612</v>
      </c>
      <c r="C91" s="56">
        <f t="shared" si="10"/>
        <v>-1079000.0000000612</v>
      </c>
      <c r="D91" s="56">
        <f t="shared" si="11"/>
        <v>0</v>
      </c>
      <c r="E91" s="56">
        <f t="shared" si="12"/>
        <v>0</v>
      </c>
      <c r="F91" s="175">
        <f t="shared" si="13"/>
        <v>1000</v>
      </c>
      <c r="G91" s="655">
        <f t="shared" si="14"/>
        <v>1000</v>
      </c>
      <c r="H91" s="656">
        <f t="shared" si="15"/>
        <v>0</v>
      </c>
    </row>
    <row r="92" spans="1:8" x14ac:dyDescent="0.25">
      <c r="A92" s="54">
        <f t="shared" si="16"/>
        <v>176</v>
      </c>
      <c r="B92" s="55">
        <f t="shared" si="9"/>
        <v>1120000.0000000636</v>
      </c>
      <c r="C92" s="56">
        <f t="shared" si="10"/>
        <v>-1119000.0000000636</v>
      </c>
      <c r="D92" s="56">
        <f t="shared" si="11"/>
        <v>0</v>
      </c>
      <c r="E92" s="56">
        <f t="shared" si="12"/>
        <v>0</v>
      </c>
      <c r="F92" s="175">
        <f t="shared" si="13"/>
        <v>1000</v>
      </c>
      <c r="G92" s="655">
        <f t="shared" si="14"/>
        <v>1000</v>
      </c>
      <c r="H92" s="656">
        <f t="shared" si="15"/>
        <v>0</v>
      </c>
    </row>
    <row r="93" spans="1:8" x14ac:dyDescent="0.25">
      <c r="A93" s="54">
        <f t="shared" si="16"/>
        <v>178</v>
      </c>
      <c r="B93" s="55">
        <f t="shared" si="9"/>
        <v>1160000.0000000659</v>
      </c>
      <c r="C93" s="56">
        <f t="shared" si="10"/>
        <v>-1159000.0000000659</v>
      </c>
      <c r="D93" s="56">
        <f t="shared" si="11"/>
        <v>0</v>
      </c>
      <c r="E93" s="56">
        <f t="shared" si="12"/>
        <v>0</v>
      </c>
      <c r="F93" s="175">
        <f t="shared" si="13"/>
        <v>1000</v>
      </c>
      <c r="G93" s="655">
        <f t="shared" si="14"/>
        <v>1000</v>
      </c>
      <c r="H93" s="656">
        <f t="shared" si="15"/>
        <v>0</v>
      </c>
    </row>
    <row r="94" spans="1:8" x14ac:dyDescent="0.25">
      <c r="A94" s="54">
        <f t="shared" si="16"/>
        <v>180</v>
      </c>
      <c r="B94" s="55">
        <f t="shared" si="9"/>
        <v>1200000.000000068</v>
      </c>
      <c r="C94" s="56">
        <f t="shared" si="10"/>
        <v>-1199000.0000000682</v>
      </c>
      <c r="D94" s="56">
        <f t="shared" si="11"/>
        <v>0</v>
      </c>
      <c r="E94" s="56">
        <f t="shared" si="12"/>
        <v>0</v>
      </c>
      <c r="F94" s="175">
        <f t="shared" si="13"/>
        <v>999.99999999976717</v>
      </c>
      <c r="G94" s="655">
        <f t="shared" si="14"/>
        <v>1000</v>
      </c>
      <c r="H94" s="656">
        <f t="shared" si="15"/>
        <v>-2.3283064365386963E-10</v>
      </c>
    </row>
    <row r="95" spans="1:8" x14ac:dyDescent="0.25">
      <c r="A95" s="54">
        <f t="shared" si="16"/>
        <v>182</v>
      </c>
      <c r="B95" s="55">
        <f t="shared" si="9"/>
        <v>1240000.0000000703</v>
      </c>
      <c r="C95" s="56">
        <f t="shared" si="10"/>
        <v>-1239000.0000000703</v>
      </c>
      <c r="D95" s="56">
        <f t="shared" si="11"/>
        <v>0</v>
      </c>
      <c r="E95" s="56">
        <f t="shared" si="12"/>
        <v>0</v>
      </c>
      <c r="F95" s="175">
        <f t="shared" si="13"/>
        <v>1000</v>
      </c>
      <c r="G95" s="655">
        <f t="shared" si="14"/>
        <v>1000</v>
      </c>
      <c r="H95" s="656">
        <f t="shared" si="15"/>
        <v>0</v>
      </c>
    </row>
    <row r="96" spans="1:8" x14ac:dyDescent="0.25">
      <c r="A96" s="54">
        <f t="shared" si="16"/>
        <v>184</v>
      </c>
      <c r="B96" s="55">
        <f t="shared" si="9"/>
        <v>1280000.0000000726</v>
      </c>
      <c r="C96" s="56">
        <f t="shared" si="10"/>
        <v>-1279000.0000000726</v>
      </c>
      <c r="D96" s="56">
        <f t="shared" si="11"/>
        <v>0</v>
      </c>
      <c r="E96" s="56">
        <f t="shared" si="12"/>
        <v>0</v>
      </c>
      <c r="F96" s="175">
        <f t="shared" si="13"/>
        <v>1000</v>
      </c>
      <c r="G96" s="655">
        <f t="shared" si="14"/>
        <v>1000</v>
      </c>
      <c r="H96" s="656">
        <f t="shared" si="15"/>
        <v>0</v>
      </c>
    </row>
    <row r="97" spans="1:8" x14ac:dyDescent="0.25">
      <c r="A97" s="54">
        <f t="shared" si="16"/>
        <v>186</v>
      </c>
      <c r="B97" s="55">
        <f t="shared" si="9"/>
        <v>1320000.000000075</v>
      </c>
      <c r="C97" s="56">
        <f t="shared" si="10"/>
        <v>-1319000.000000075</v>
      </c>
      <c r="D97" s="56">
        <f t="shared" si="11"/>
        <v>0</v>
      </c>
      <c r="E97" s="56">
        <f t="shared" si="12"/>
        <v>0</v>
      </c>
      <c r="F97" s="175">
        <f t="shared" si="13"/>
        <v>1000</v>
      </c>
      <c r="G97" s="655">
        <f t="shared" si="14"/>
        <v>1000</v>
      </c>
      <c r="H97" s="656">
        <f t="shared" si="15"/>
        <v>0</v>
      </c>
    </row>
    <row r="98" spans="1:8" x14ac:dyDescent="0.25">
      <c r="A98" s="54">
        <f t="shared" si="16"/>
        <v>188</v>
      </c>
      <c r="B98" s="55">
        <f t="shared" si="9"/>
        <v>1360000.0000000773</v>
      </c>
      <c r="C98" s="56">
        <f t="shared" si="10"/>
        <v>-1359000.0000000773</v>
      </c>
      <c r="D98" s="56">
        <f t="shared" si="11"/>
        <v>0</v>
      </c>
      <c r="E98" s="56">
        <f t="shared" si="12"/>
        <v>0</v>
      </c>
      <c r="F98" s="175">
        <f t="shared" si="13"/>
        <v>1000</v>
      </c>
      <c r="G98" s="655">
        <f t="shared" si="14"/>
        <v>1000</v>
      </c>
      <c r="H98" s="656">
        <f t="shared" si="15"/>
        <v>0</v>
      </c>
    </row>
    <row r="99" spans="1:8" x14ac:dyDescent="0.25">
      <c r="A99" s="54">
        <f t="shared" si="16"/>
        <v>190</v>
      </c>
      <c r="B99" s="55">
        <f t="shared" si="9"/>
        <v>1400000.0000000794</v>
      </c>
      <c r="C99" s="56">
        <f t="shared" si="10"/>
        <v>-1399000.0000000794</v>
      </c>
      <c r="D99" s="56">
        <f t="shared" si="11"/>
        <v>0</v>
      </c>
      <c r="E99" s="56">
        <f t="shared" si="12"/>
        <v>0</v>
      </c>
      <c r="F99" s="175">
        <f t="shared" si="13"/>
        <v>1000</v>
      </c>
      <c r="G99" s="655">
        <f t="shared" si="14"/>
        <v>1000</v>
      </c>
      <c r="H99" s="656">
        <f t="shared" si="15"/>
        <v>0</v>
      </c>
    </row>
    <row r="100" spans="1:8" x14ac:dyDescent="0.25">
      <c r="A100" s="54">
        <f t="shared" si="16"/>
        <v>192</v>
      </c>
      <c r="B100" s="55">
        <f t="shared" si="9"/>
        <v>1440000.0000000817</v>
      </c>
      <c r="C100" s="56">
        <f t="shared" si="10"/>
        <v>-1439000.0000000817</v>
      </c>
      <c r="D100" s="56">
        <f t="shared" si="11"/>
        <v>0</v>
      </c>
      <c r="E100" s="56">
        <f t="shared" si="12"/>
        <v>0</v>
      </c>
      <c r="F100" s="175">
        <f t="shared" si="13"/>
        <v>1000</v>
      </c>
      <c r="G100" s="655">
        <f t="shared" si="14"/>
        <v>1000</v>
      </c>
      <c r="H100" s="656">
        <f t="shared" si="15"/>
        <v>0</v>
      </c>
    </row>
    <row r="101" spans="1:8" x14ac:dyDescent="0.25">
      <c r="A101" s="54">
        <f t="shared" si="16"/>
        <v>194</v>
      </c>
      <c r="B101" s="55">
        <f t="shared" si="9"/>
        <v>1480000.0000000841</v>
      </c>
      <c r="C101" s="56">
        <f t="shared" si="10"/>
        <v>-1479000.0000000841</v>
      </c>
      <c r="D101" s="56">
        <f t="shared" si="11"/>
        <v>0</v>
      </c>
      <c r="E101" s="56">
        <f t="shared" si="12"/>
        <v>0</v>
      </c>
      <c r="F101" s="175">
        <f t="shared" si="13"/>
        <v>1000</v>
      </c>
      <c r="G101" s="655">
        <f t="shared" si="14"/>
        <v>1000</v>
      </c>
      <c r="H101" s="656">
        <f t="shared" si="15"/>
        <v>0</v>
      </c>
    </row>
    <row r="102" spans="1:8" x14ac:dyDescent="0.25">
      <c r="A102" s="54">
        <f t="shared" si="16"/>
        <v>196</v>
      </c>
      <c r="B102" s="55">
        <f t="shared" si="9"/>
        <v>1520000.0000000861</v>
      </c>
      <c r="C102" s="56">
        <f t="shared" si="10"/>
        <v>-1519000.0000000864</v>
      </c>
      <c r="D102" s="56">
        <f t="shared" si="11"/>
        <v>0</v>
      </c>
      <c r="E102" s="56">
        <f t="shared" si="12"/>
        <v>0</v>
      </c>
      <c r="F102" s="175">
        <f t="shared" si="13"/>
        <v>999.99999999976717</v>
      </c>
      <c r="G102" s="655">
        <f t="shared" si="14"/>
        <v>1000</v>
      </c>
      <c r="H102" s="656">
        <f t="shared" si="15"/>
        <v>-2.3283064365386963E-10</v>
      </c>
    </row>
    <row r="103" spans="1:8" x14ac:dyDescent="0.25">
      <c r="A103" s="54">
        <f t="shared" si="16"/>
        <v>198</v>
      </c>
      <c r="B103" s="55">
        <f t="shared" si="9"/>
        <v>1560000.0000000885</v>
      </c>
      <c r="C103" s="56">
        <f t="shared" si="10"/>
        <v>-1559000.0000000885</v>
      </c>
      <c r="D103" s="56">
        <f t="shared" si="11"/>
        <v>0</v>
      </c>
      <c r="E103" s="56">
        <f t="shared" si="12"/>
        <v>0</v>
      </c>
      <c r="F103" s="175">
        <f t="shared" si="13"/>
        <v>1000</v>
      </c>
      <c r="G103" s="655">
        <f t="shared" si="14"/>
        <v>1000</v>
      </c>
      <c r="H103" s="656">
        <f t="shared" si="15"/>
        <v>0</v>
      </c>
    </row>
    <row r="104" spans="1:8" x14ac:dyDescent="0.25">
      <c r="A104" s="64">
        <f t="shared" si="16"/>
        <v>200</v>
      </c>
      <c r="B104" s="65">
        <f t="shared" si="9"/>
        <v>1600000.0000000908</v>
      </c>
      <c r="C104" s="58">
        <f t="shared" si="10"/>
        <v>-1599000.0000000908</v>
      </c>
      <c r="D104" s="58">
        <f t="shared" si="11"/>
        <v>0</v>
      </c>
      <c r="E104" s="58">
        <f t="shared" si="12"/>
        <v>0</v>
      </c>
      <c r="F104" s="176">
        <f t="shared" si="13"/>
        <v>1000</v>
      </c>
      <c r="G104" s="655">
        <f t="shared" si="14"/>
        <v>1000</v>
      </c>
      <c r="H104" s="656">
        <f t="shared" si="15"/>
        <v>0</v>
      </c>
    </row>
    <row r="105" spans="1:8" x14ac:dyDescent="0.25">
      <c r="A105" s="54"/>
    </row>
    <row r="106" spans="1:8" x14ac:dyDescent="0.25">
      <c r="A106" s="54"/>
    </row>
    <row r="107" spans="1:8" x14ac:dyDescent="0.25">
      <c r="A107" s="54"/>
    </row>
    <row r="108" spans="1:8" x14ac:dyDescent="0.25">
      <c r="A108" s="54"/>
    </row>
    <row r="109" spans="1:8" x14ac:dyDescent="0.25">
      <c r="A109" s="54"/>
    </row>
    <row r="110" spans="1:8" x14ac:dyDescent="0.25">
      <c r="A110" s="54"/>
    </row>
    <row r="111" spans="1:8" x14ac:dyDescent="0.25">
      <c r="A111" s="54"/>
    </row>
    <row r="112" spans="1:8"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9">
    <mergeCell ref="I16:J16"/>
    <mergeCell ref="I17:J17"/>
    <mergeCell ref="I18:J18"/>
    <mergeCell ref="G1:G3"/>
    <mergeCell ref="H1:H3"/>
    <mergeCell ref="I2:I10"/>
    <mergeCell ref="K9:N9"/>
    <mergeCell ref="K10:N10"/>
    <mergeCell ref="A1:A2"/>
    <mergeCell ref="B1:B2"/>
    <mergeCell ref="C1:C2"/>
    <mergeCell ref="D1:D2"/>
    <mergeCell ref="E1:E2"/>
    <mergeCell ref="F1:F3"/>
    <mergeCell ref="K2:N2"/>
    <mergeCell ref="B3:E3"/>
    <mergeCell ref="K6:N6"/>
    <mergeCell ref="K7:N7"/>
    <mergeCell ref="K8:N8"/>
  </mergeCells>
  <pageMargins left="0.75" right="0.75" top="1" bottom="1" header="0.5" footer="0.5"/>
  <pageSetup orientation="portrait" r:id="rId1"/>
  <headerFooter alignWithMargins="0"/>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5915-1361-4A44-99AF-BA1290971994}">
  <dimension ref="A1:AG132"/>
  <sheetViews>
    <sheetView topLeftCell="H1" zoomScale="110" zoomScaleNormal="110" workbookViewId="0">
      <selection activeCell="AG7" sqref="AG7"/>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1" width="14.88671875" style="42" customWidth="1"/>
    <col min="12" max="32" width="9.21875" style="42"/>
    <col min="33" max="33" width="12.109375" style="42" bestFit="1" customWidth="1"/>
    <col min="34" max="16384" width="9.21875" style="42"/>
  </cols>
  <sheetData>
    <row r="1" spans="1:33" ht="25.05" customHeight="1" x14ac:dyDescent="0.25">
      <c r="A1" s="714" t="s">
        <v>89</v>
      </c>
      <c r="B1" s="724" t="str">
        <f>K3</f>
        <v>C</v>
      </c>
      <c r="C1" s="724" t="str">
        <f>L3</f>
        <v>C</v>
      </c>
      <c r="D1" s="724" t="str">
        <f t="shared" ref="D1:E1" si="0">M3</f>
        <v>C</v>
      </c>
      <c r="E1" s="724" t="str">
        <f t="shared" si="0"/>
        <v>C</v>
      </c>
      <c r="F1" s="723" t="s">
        <v>90</v>
      </c>
      <c r="G1" s="780" t="s">
        <v>706</v>
      </c>
      <c r="H1" s="714" t="s">
        <v>707</v>
      </c>
      <c r="K1" s="43" t="s">
        <v>216</v>
      </c>
      <c r="L1" s="43" t="s">
        <v>91</v>
      </c>
      <c r="M1" s="43" t="s">
        <v>92</v>
      </c>
      <c r="N1" s="43" t="s">
        <v>93</v>
      </c>
    </row>
    <row r="2" spans="1:33" x14ac:dyDescent="0.25">
      <c r="A2" s="716"/>
      <c r="B2" s="725"/>
      <c r="C2" s="725"/>
      <c r="D2" s="725"/>
      <c r="E2" s="725"/>
      <c r="F2" s="723"/>
      <c r="G2" s="781"/>
      <c r="H2" s="715"/>
      <c r="I2" s="783" t="s">
        <v>94</v>
      </c>
      <c r="J2" s="45" t="s">
        <v>95</v>
      </c>
      <c r="K2" s="702">
        <v>100</v>
      </c>
      <c r="L2" s="702"/>
      <c r="M2" s="702"/>
      <c r="N2" s="702"/>
      <c r="AF2" s="42" t="s">
        <v>708</v>
      </c>
      <c r="AG2" s="42">
        <f>LN(K2)+((K6-K7-(0.5*K8*K8))*K9)</f>
        <v>4.6326701859880917</v>
      </c>
    </row>
    <row r="3" spans="1:33" x14ac:dyDescent="0.25">
      <c r="A3" s="47" t="s">
        <v>96</v>
      </c>
      <c r="B3" s="757" t="s">
        <v>193</v>
      </c>
      <c r="C3" s="717"/>
      <c r="D3" s="717"/>
      <c r="E3" s="718"/>
      <c r="F3" s="714"/>
      <c r="G3" s="782"/>
      <c r="H3" s="716"/>
      <c r="I3" s="784"/>
      <c r="J3" s="50" t="s">
        <v>97</v>
      </c>
      <c r="K3" s="46" t="s">
        <v>99</v>
      </c>
      <c r="L3" s="46" t="s">
        <v>99</v>
      </c>
      <c r="M3" s="46" t="s">
        <v>99</v>
      </c>
      <c r="N3" s="46" t="s">
        <v>99</v>
      </c>
      <c r="AF3" s="42" t="s">
        <v>709</v>
      </c>
      <c r="AG3" s="42">
        <f>K8*SQRT(K9)</f>
        <v>0.21213203435596426</v>
      </c>
    </row>
    <row r="4" spans="1:33" x14ac:dyDescent="0.25">
      <c r="A4" s="51">
        <v>0</v>
      </c>
      <c r="B4" s="52">
        <f>(MAX(IF($B$1="C",1,-1)*(A4-$K$5),0)-IF($K$10="Y",$K$13*EXP($K$6*$K$9),0))*$K$4</f>
        <v>0</v>
      </c>
      <c r="C4" s="45">
        <f>(MAX(IF($C$1="C",1,-1)*(A4-$L$5),0)-IF($K$10="Y",$L$13*EXP($K$6*$K$9),0))*$L$4</f>
        <v>0</v>
      </c>
      <c r="D4" s="45">
        <f>(MAX(IF($D$1="C",1,-1)*(A4-$M$5),0)-IF($K$10="Y",$M$13*EXP($K$6*$K$9),0))*$M$4</f>
        <v>0</v>
      </c>
      <c r="E4" s="45">
        <f>(MAX(IF($E$1="C",1,-1)*(A4-$N$5),0)-IF($K$10="Y",$N$13*EXP($K$6*$K$9),0))*$N$4</f>
        <v>0</v>
      </c>
      <c r="F4" s="174">
        <f>SUM(B4:E4)</f>
        <v>0</v>
      </c>
      <c r="G4" s="655">
        <f>IF(A4&lt;SQRT($K$16),0,(A4)^2-$K$16)</f>
        <v>0</v>
      </c>
      <c r="H4" s="656">
        <f>F4-G4</f>
        <v>0</v>
      </c>
      <c r="I4" s="715"/>
      <c r="J4" s="50" t="s">
        <v>100</v>
      </c>
      <c r="K4" s="46">
        <v>100</v>
      </c>
      <c r="L4" s="46">
        <v>65</v>
      </c>
      <c r="M4" s="46">
        <v>20</v>
      </c>
      <c r="N4" s="46">
        <v>50</v>
      </c>
      <c r="AF4" s="42" t="s">
        <v>710</v>
      </c>
      <c r="AG4" s="42">
        <f>EXP((2*AG2)+(2*AG3*AG3))</f>
        <v>11560.395702680222</v>
      </c>
    </row>
    <row r="5" spans="1:33" x14ac:dyDescent="0.25">
      <c r="A5" s="54">
        <f>A4+2</f>
        <v>2</v>
      </c>
      <c r="B5" s="55">
        <f t="shared" ref="B5:B68" si="1">(MAX(IF($B$1="C",1,-1)*(A5-$K$5),0)-IF($K$10="Y",$K$13*EXP($K$6*$K$9),0))*$K$4</f>
        <v>0</v>
      </c>
      <c r="C5" s="56">
        <f t="shared" ref="C5:C68" si="2">(MAX(IF($C$1="C",1,-1)*(A5-$L$5),0)-IF($K$10="Y",$L$13*EXP($K$6*$K$9),0))*$L$4</f>
        <v>0</v>
      </c>
      <c r="D5" s="56">
        <f t="shared" ref="D5:D68" si="3">(MAX(IF($D$1="C",1,-1)*(A5-$M$5),0)-IF($K$10="Y",$M$13*EXP($K$6*$K$9),0))*$M$4</f>
        <v>0</v>
      </c>
      <c r="E5" s="56">
        <f t="shared" ref="E5:E68" si="4">(MAX(IF($E$1="C",1,-1)*(A5-$N$5),0)-IF($K$10="Y",$N$13*EXP($K$6*$K$9),0))*$N$4</f>
        <v>0</v>
      </c>
      <c r="F5" s="175">
        <f t="shared" ref="F5:F68" si="5">SUM(B5:E5)</f>
        <v>0</v>
      </c>
      <c r="G5" s="655">
        <f t="shared" ref="G5:G68" si="6">IF(A5&lt;SQRT($K$16),0,(A5)^2-$K$16)</f>
        <v>0</v>
      </c>
      <c r="H5" s="656">
        <f t="shared" ref="H5:H68" si="7">F5-G5</f>
        <v>0</v>
      </c>
      <c r="I5" s="715"/>
      <c r="J5" s="56" t="s">
        <v>101</v>
      </c>
      <c r="K5" s="46">
        <v>30</v>
      </c>
      <c r="L5" s="46">
        <v>50</v>
      </c>
      <c r="M5" s="46">
        <v>70</v>
      </c>
      <c r="N5" s="46">
        <v>100</v>
      </c>
      <c r="AF5" s="42" t="s">
        <v>711</v>
      </c>
      <c r="AG5" s="42">
        <f>NORMSDIST((2*AG3)-((LN(SQRT(K16))-AG2)/AG3))</f>
        <v>1</v>
      </c>
    </row>
    <row r="6" spans="1:33" x14ac:dyDescent="0.25">
      <c r="A6" s="54">
        <f t="shared" ref="A6:A69" si="8">A5+2</f>
        <v>4</v>
      </c>
      <c r="B6" s="55">
        <f t="shared" si="1"/>
        <v>0</v>
      </c>
      <c r="C6" s="56">
        <f t="shared" si="2"/>
        <v>0</v>
      </c>
      <c r="D6" s="56">
        <f t="shared" si="3"/>
        <v>0</v>
      </c>
      <c r="E6" s="56">
        <f t="shared" si="4"/>
        <v>0</v>
      </c>
      <c r="F6" s="175">
        <f t="shared" si="5"/>
        <v>0</v>
      </c>
      <c r="G6" s="655">
        <f t="shared" si="6"/>
        <v>0</v>
      </c>
      <c r="H6" s="656">
        <f t="shared" si="7"/>
        <v>0</v>
      </c>
      <c r="I6" s="715"/>
      <c r="J6" s="56" t="s">
        <v>102</v>
      </c>
      <c r="K6" s="758">
        <v>0.1</v>
      </c>
      <c r="L6" s="719"/>
      <c r="M6" s="719"/>
      <c r="N6" s="720"/>
      <c r="AF6" s="42" t="s">
        <v>712</v>
      </c>
      <c r="AG6" s="96">
        <f>K16*NORMSDIST(-(LN(SQRT(K16))-AG2)/AG3)</f>
        <v>120</v>
      </c>
    </row>
    <row r="7" spans="1:33" x14ac:dyDescent="0.25">
      <c r="A7" s="54">
        <f t="shared" si="8"/>
        <v>6</v>
      </c>
      <c r="B7" s="55">
        <f t="shared" si="1"/>
        <v>0</v>
      </c>
      <c r="C7" s="56">
        <f t="shared" si="2"/>
        <v>0</v>
      </c>
      <c r="D7" s="56">
        <f t="shared" si="3"/>
        <v>0</v>
      </c>
      <c r="E7" s="56">
        <f t="shared" si="4"/>
        <v>0</v>
      </c>
      <c r="F7" s="175">
        <f t="shared" si="5"/>
        <v>0</v>
      </c>
      <c r="G7" s="655">
        <f t="shared" si="6"/>
        <v>0</v>
      </c>
      <c r="H7" s="656">
        <f t="shared" si="7"/>
        <v>0</v>
      </c>
      <c r="I7" s="715"/>
      <c r="J7" s="56" t="s">
        <v>103</v>
      </c>
      <c r="K7" s="758">
        <v>0</v>
      </c>
      <c r="L7" s="719"/>
      <c r="M7" s="719"/>
      <c r="N7" s="720"/>
      <c r="AF7" s="42" t="s">
        <v>713</v>
      </c>
      <c r="AG7" s="96">
        <f>((AG4*AG5)-AG6)*EXP(-K6*K9)</f>
        <v>10882.44102032095</v>
      </c>
    </row>
    <row r="8" spans="1:33" x14ac:dyDescent="0.25">
      <c r="A8" s="54">
        <f t="shared" si="8"/>
        <v>8</v>
      </c>
      <c r="B8" s="55">
        <f t="shared" si="1"/>
        <v>0</v>
      </c>
      <c r="C8" s="56">
        <f t="shared" si="2"/>
        <v>0</v>
      </c>
      <c r="D8" s="56">
        <f t="shared" si="3"/>
        <v>0</v>
      </c>
      <c r="E8" s="56">
        <f t="shared" si="4"/>
        <v>0</v>
      </c>
      <c r="F8" s="175">
        <f t="shared" si="5"/>
        <v>0</v>
      </c>
      <c r="G8" s="655">
        <f t="shared" si="6"/>
        <v>0</v>
      </c>
      <c r="H8" s="656">
        <f t="shared" si="7"/>
        <v>0</v>
      </c>
      <c r="I8" s="715"/>
      <c r="J8" s="56" t="s">
        <v>104</v>
      </c>
      <c r="K8" s="758">
        <v>0.3</v>
      </c>
      <c r="L8" s="719"/>
      <c r="M8" s="719"/>
      <c r="N8" s="720"/>
    </row>
    <row r="9" spans="1:33" x14ac:dyDescent="0.25">
      <c r="A9" s="54">
        <f t="shared" si="8"/>
        <v>10</v>
      </c>
      <c r="B9" s="55">
        <f t="shared" si="1"/>
        <v>0</v>
      </c>
      <c r="C9" s="56">
        <f t="shared" si="2"/>
        <v>0</v>
      </c>
      <c r="D9" s="56">
        <f t="shared" si="3"/>
        <v>0</v>
      </c>
      <c r="E9" s="56">
        <f t="shared" si="4"/>
        <v>0</v>
      </c>
      <c r="F9" s="175">
        <f t="shared" si="5"/>
        <v>0</v>
      </c>
      <c r="G9" s="655">
        <f t="shared" si="6"/>
        <v>0</v>
      </c>
      <c r="H9" s="656">
        <f t="shared" si="7"/>
        <v>0</v>
      </c>
      <c r="I9" s="715"/>
      <c r="J9" s="58" t="s">
        <v>105</v>
      </c>
      <c r="K9" s="729">
        <v>0.5</v>
      </c>
      <c r="L9" s="721"/>
      <c r="M9" s="721"/>
      <c r="N9" s="722"/>
    </row>
    <row r="10" spans="1:33" x14ac:dyDescent="0.25">
      <c r="A10" s="54">
        <f t="shared" si="8"/>
        <v>12</v>
      </c>
      <c r="B10" s="55">
        <f t="shared" si="1"/>
        <v>0</v>
      </c>
      <c r="C10" s="56">
        <f t="shared" si="2"/>
        <v>0</v>
      </c>
      <c r="D10" s="56">
        <f t="shared" si="3"/>
        <v>0</v>
      </c>
      <c r="E10" s="56">
        <f t="shared" si="4"/>
        <v>0</v>
      </c>
      <c r="F10" s="175">
        <f t="shared" si="5"/>
        <v>0</v>
      </c>
      <c r="G10" s="655">
        <f t="shared" si="6"/>
        <v>24</v>
      </c>
      <c r="H10" s="656">
        <f t="shared" si="7"/>
        <v>-24</v>
      </c>
      <c r="I10" s="716"/>
      <c r="J10" s="59" t="s">
        <v>106</v>
      </c>
      <c r="K10" s="729" t="s">
        <v>239</v>
      </c>
      <c r="L10" s="721"/>
      <c r="M10" s="721"/>
      <c r="N10" s="722"/>
    </row>
    <row r="11" spans="1:33" x14ac:dyDescent="0.25">
      <c r="A11" s="54">
        <f t="shared" si="8"/>
        <v>14</v>
      </c>
      <c r="B11" s="55">
        <f t="shared" si="1"/>
        <v>0</v>
      </c>
      <c r="C11" s="56">
        <f t="shared" si="2"/>
        <v>0</v>
      </c>
      <c r="D11" s="56">
        <f t="shared" si="3"/>
        <v>0</v>
      </c>
      <c r="E11" s="56">
        <f t="shared" si="4"/>
        <v>0</v>
      </c>
      <c r="F11" s="175">
        <f t="shared" si="5"/>
        <v>0</v>
      </c>
      <c r="G11" s="655">
        <f t="shared" si="6"/>
        <v>76</v>
      </c>
      <c r="H11" s="656">
        <f t="shared" si="7"/>
        <v>-76</v>
      </c>
      <c r="I11" s="41" t="s">
        <v>107</v>
      </c>
      <c r="J11" s="52" t="s">
        <v>108</v>
      </c>
      <c r="K11" s="47">
        <f>(LN($K$2/K5)+(($K$6-$K$7+(0.5*$K$8*$K$8))*$K$9))/($K$8*SQRT($K$9))</f>
        <v>6.0173505062605228</v>
      </c>
      <c r="L11" s="47">
        <f>(LN($K$2/L5)+(($K$6-$K$7+(0.5*$K$8*$K$8))*$K$9))/($K$8*SQRT($K$9))</f>
        <v>3.6092954224686551</v>
      </c>
      <c r="M11" s="47">
        <f>(LN($K$2/M5)+(($K$6-$K$7+(0.5*$K$8*$K$8))*$K$9))/($K$8*SQRT($K$9))</f>
        <v>2.0231500878295603</v>
      </c>
      <c r="N11" s="47">
        <f>(LN($K$2/N5)+(($K$6-$K$7+(0.5*$K$8*$K$8))*$K$9))/($K$8*SQRT($K$9))</f>
        <v>0.34176827757349804</v>
      </c>
    </row>
    <row r="12" spans="1:33" x14ac:dyDescent="0.25">
      <c r="A12" s="54">
        <f t="shared" si="8"/>
        <v>16</v>
      </c>
      <c r="B12" s="55">
        <f t="shared" si="1"/>
        <v>0</v>
      </c>
      <c r="C12" s="56">
        <f t="shared" si="2"/>
        <v>0</v>
      </c>
      <c r="D12" s="56">
        <f t="shared" si="3"/>
        <v>0</v>
      </c>
      <c r="E12" s="56">
        <f t="shared" si="4"/>
        <v>0</v>
      </c>
      <c r="F12" s="175">
        <f t="shared" si="5"/>
        <v>0</v>
      </c>
      <c r="G12" s="655">
        <f t="shared" si="6"/>
        <v>136</v>
      </c>
      <c r="H12" s="656">
        <f t="shared" si="7"/>
        <v>-136</v>
      </c>
      <c r="I12" s="49"/>
      <c r="J12" s="55" t="s">
        <v>109</v>
      </c>
      <c r="K12" s="60">
        <f>K11-($K$8*SQRT($K$9))</f>
        <v>5.805218471904559</v>
      </c>
      <c r="L12" s="60">
        <f>L11-($K$8*SQRT($K$9))</f>
        <v>3.3971633881126908</v>
      </c>
      <c r="M12" s="60">
        <f>M11-($K$8*SQRT($K$9))</f>
        <v>1.811018053473596</v>
      </c>
      <c r="N12" s="60">
        <f>N11-($K$8*SQRT($K$9))</f>
        <v>0.12963624321753378</v>
      </c>
    </row>
    <row r="13" spans="1:33" x14ac:dyDescent="0.25">
      <c r="A13" s="54">
        <f t="shared" si="8"/>
        <v>18</v>
      </c>
      <c r="B13" s="55">
        <f t="shared" si="1"/>
        <v>0</v>
      </c>
      <c r="C13" s="56">
        <f t="shared" si="2"/>
        <v>0</v>
      </c>
      <c r="D13" s="56">
        <f t="shared" si="3"/>
        <v>0</v>
      </c>
      <c r="E13" s="56">
        <f t="shared" si="4"/>
        <v>0</v>
      </c>
      <c r="F13" s="175">
        <f t="shared" si="5"/>
        <v>0</v>
      </c>
      <c r="G13" s="655">
        <f t="shared" si="6"/>
        <v>204</v>
      </c>
      <c r="H13" s="656">
        <f t="shared" si="7"/>
        <v>-204</v>
      </c>
      <c r="I13" s="44"/>
      <c r="J13" s="61" t="s">
        <v>110</v>
      </c>
      <c r="K13" s="62">
        <f>IF(K3="C",($K$2*EXP(-$K$7*$K$9)*NORMSDIST(K11))-(K5*EXP(-$K$6*$K$9)*NORMSDIST(K12)),(-$K$2*EXP(-$K$7*$K$9)*NORMSDIST(-K11))-(-K5*EXP(-$K$6*$K$9)*NORMSDIST(-K12)))</f>
        <v>71.463117268051704</v>
      </c>
      <c r="L13" s="62">
        <f>IF(L3="C",($K$2*EXP(-$K$7*$K$9)*NORMSDIST(L11))-(L5*EXP(-$K$6*$K$9)*NORMSDIST(L12)),(-$K$2*EXP(-$K$7*$K$9)*NORMSDIST(-L11))-(-L5*EXP(-$K$6*$K$9)*NORMSDIST(-L12)))</f>
        <v>52.439369183609507</v>
      </c>
      <c r="M13" s="62">
        <f>IF(M3="C",($K$2*EXP(-$K$7*$K$9)*NORMSDIST(M11))-(M5*EXP(-$K$6*$K$9)*NORMSDIST(M12)),(-$K$2*EXP(-$K$7*$K$9)*NORMSDIST(-M11))-(-M5*EXP(-$K$6*$K$9)*NORMSDIST(-M12)))</f>
        <v>33.596164924308823</v>
      </c>
      <c r="N13" s="62">
        <f>IF(N3="C",($K$2*EXP(-$K$7*$K$9)*NORMSDIST(N11))-(N5*EXP(-$K$6*$K$9)*NORMSDIST(N12)),(-$K$2*EXP(-$K$7*$K$9)*NORMSDIST(-N11))-(-N5*EXP(-$K$6*$K$9)*NORMSDIST(-N12)))</f>
        <v>10.906499852007414</v>
      </c>
    </row>
    <row r="14" spans="1:33" x14ac:dyDescent="0.25">
      <c r="A14" s="54">
        <f t="shared" si="8"/>
        <v>20</v>
      </c>
      <c r="B14" s="55">
        <f t="shared" si="1"/>
        <v>0</v>
      </c>
      <c r="C14" s="56">
        <f t="shared" si="2"/>
        <v>0</v>
      </c>
      <c r="D14" s="56">
        <f t="shared" si="3"/>
        <v>0</v>
      </c>
      <c r="E14" s="56">
        <f t="shared" si="4"/>
        <v>0</v>
      </c>
      <c r="F14" s="175">
        <f t="shared" si="5"/>
        <v>0</v>
      </c>
      <c r="G14" s="655">
        <f t="shared" si="6"/>
        <v>280</v>
      </c>
      <c r="H14" s="656">
        <f t="shared" si="7"/>
        <v>-280</v>
      </c>
      <c r="J14" s="46" t="s">
        <v>714</v>
      </c>
      <c r="K14" s="97">
        <f>SUMPRODUCT(K4:N4,K13:N13)</f>
        <v>11772.119014826334</v>
      </c>
    </row>
    <row r="15" spans="1:33" x14ac:dyDescent="0.25">
      <c r="A15" s="54">
        <f t="shared" si="8"/>
        <v>22</v>
      </c>
      <c r="B15" s="55">
        <f t="shared" si="1"/>
        <v>0</v>
      </c>
      <c r="C15" s="56">
        <f t="shared" si="2"/>
        <v>0</v>
      </c>
      <c r="D15" s="56">
        <f t="shared" si="3"/>
        <v>0</v>
      </c>
      <c r="E15" s="56">
        <f t="shared" si="4"/>
        <v>0</v>
      </c>
      <c r="F15" s="175">
        <f t="shared" si="5"/>
        <v>0</v>
      </c>
      <c r="G15" s="655">
        <f t="shared" si="6"/>
        <v>364</v>
      </c>
      <c r="H15" s="656">
        <f t="shared" si="7"/>
        <v>-364</v>
      </c>
    </row>
    <row r="16" spans="1:33" x14ac:dyDescent="0.25">
      <c r="A16" s="54">
        <f t="shared" si="8"/>
        <v>24</v>
      </c>
      <c r="B16" s="55">
        <f t="shared" si="1"/>
        <v>0</v>
      </c>
      <c r="C16" s="56">
        <f t="shared" si="2"/>
        <v>0</v>
      </c>
      <c r="D16" s="56">
        <f t="shared" si="3"/>
        <v>0</v>
      </c>
      <c r="E16" s="56">
        <f t="shared" si="4"/>
        <v>0</v>
      </c>
      <c r="F16" s="175">
        <f t="shared" si="5"/>
        <v>0</v>
      </c>
      <c r="G16" s="655">
        <f t="shared" si="6"/>
        <v>456</v>
      </c>
      <c r="H16" s="656">
        <f t="shared" si="7"/>
        <v>-456</v>
      </c>
      <c r="I16" s="729" t="s">
        <v>715</v>
      </c>
      <c r="J16" s="721"/>
      <c r="K16" s="657">
        <v>120</v>
      </c>
    </row>
    <row r="17" spans="1:11" x14ac:dyDescent="0.25">
      <c r="A17" s="54">
        <f t="shared" si="8"/>
        <v>26</v>
      </c>
      <c r="B17" s="55">
        <f t="shared" si="1"/>
        <v>0</v>
      </c>
      <c r="C17" s="56">
        <f t="shared" si="2"/>
        <v>0</v>
      </c>
      <c r="D17" s="56">
        <f t="shared" si="3"/>
        <v>0</v>
      </c>
      <c r="E17" s="56">
        <f t="shared" si="4"/>
        <v>0</v>
      </c>
      <c r="F17" s="175">
        <f t="shared" si="5"/>
        <v>0</v>
      </c>
      <c r="G17" s="655">
        <f t="shared" si="6"/>
        <v>556</v>
      </c>
      <c r="H17" s="656">
        <f t="shared" si="7"/>
        <v>-556</v>
      </c>
      <c r="I17" s="729" t="s">
        <v>716</v>
      </c>
      <c r="J17" s="722"/>
      <c r="K17" s="658" t="s">
        <v>717</v>
      </c>
    </row>
    <row r="18" spans="1:11" x14ac:dyDescent="0.25">
      <c r="A18" s="54">
        <f t="shared" si="8"/>
        <v>28</v>
      </c>
      <c r="B18" s="55">
        <f t="shared" si="1"/>
        <v>0</v>
      </c>
      <c r="C18" s="56">
        <f t="shared" si="2"/>
        <v>0</v>
      </c>
      <c r="D18" s="56">
        <f t="shared" si="3"/>
        <v>0</v>
      </c>
      <c r="E18" s="56">
        <f t="shared" si="4"/>
        <v>0</v>
      </c>
      <c r="F18" s="175">
        <f t="shared" si="5"/>
        <v>0</v>
      </c>
      <c r="G18" s="655">
        <f t="shared" si="6"/>
        <v>664</v>
      </c>
      <c r="H18" s="656">
        <f t="shared" si="7"/>
        <v>-664</v>
      </c>
      <c r="I18" s="729" t="s">
        <v>718</v>
      </c>
      <c r="J18" s="722"/>
      <c r="K18" s="659">
        <f>AG7</f>
        <v>10882.44102032095</v>
      </c>
    </row>
    <row r="19" spans="1:11" x14ac:dyDescent="0.25">
      <c r="A19" s="54">
        <f t="shared" si="8"/>
        <v>30</v>
      </c>
      <c r="B19" s="55">
        <f t="shared" si="1"/>
        <v>0</v>
      </c>
      <c r="C19" s="56">
        <f t="shared" si="2"/>
        <v>0</v>
      </c>
      <c r="D19" s="56">
        <f t="shared" si="3"/>
        <v>0</v>
      </c>
      <c r="E19" s="56">
        <f t="shared" si="4"/>
        <v>0</v>
      </c>
      <c r="F19" s="175">
        <f t="shared" si="5"/>
        <v>0</v>
      </c>
      <c r="G19" s="655">
        <f t="shared" si="6"/>
        <v>780</v>
      </c>
      <c r="H19" s="656">
        <f t="shared" si="7"/>
        <v>-780</v>
      </c>
    </row>
    <row r="20" spans="1:11" x14ac:dyDescent="0.25">
      <c r="A20" s="54">
        <f t="shared" si="8"/>
        <v>32</v>
      </c>
      <c r="B20" s="55">
        <f t="shared" si="1"/>
        <v>200</v>
      </c>
      <c r="C20" s="56">
        <f t="shared" si="2"/>
        <v>0</v>
      </c>
      <c r="D20" s="56">
        <f t="shared" si="3"/>
        <v>0</v>
      </c>
      <c r="E20" s="56">
        <f t="shared" si="4"/>
        <v>0</v>
      </c>
      <c r="F20" s="175">
        <f t="shared" si="5"/>
        <v>200</v>
      </c>
      <c r="G20" s="655">
        <f t="shared" si="6"/>
        <v>904</v>
      </c>
      <c r="H20" s="656">
        <f t="shared" si="7"/>
        <v>-704</v>
      </c>
    </row>
    <row r="21" spans="1:11" x14ac:dyDescent="0.25">
      <c r="A21" s="54">
        <f t="shared" si="8"/>
        <v>34</v>
      </c>
      <c r="B21" s="55">
        <f t="shared" si="1"/>
        <v>400</v>
      </c>
      <c r="C21" s="56">
        <f t="shared" si="2"/>
        <v>0</v>
      </c>
      <c r="D21" s="56">
        <f t="shared" si="3"/>
        <v>0</v>
      </c>
      <c r="E21" s="56">
        <f t="shared" si="4"/>
        <v>0</v>
      </c>
      <c r="F21" s="175">
        <f t="shared" si="5"/>
        <v>400</v>
      </c>
      <c r="G21" s="655">
        <f t="shared" si="6"/>
        <v>1036</v>
      </c>
      <c r="H21" s="656">
        <f t="shared" si="7"/>
        <v>-636</v>
      </c>
    </row>
    <row r="22" spans="1:11" x14ac:dyDescent="0.25">
      <c r="A22" s="54">
        <f t="shared" si="8"/>
        <v>36</v>
      </c>
      <c r="B22" s="55">
        <f t="shared" si="1"/>
        <v>600</v>
      </c>
      <c r="C22" s="56">
        <f t="shared" si="2"/>
        <v>0</v>
      </c>
      <c r="D22" s="56">
        <f t="shared" si="3"/>
        <v>0</v>
      </c>
      <c r="E22" s="56">
        <f t="shared" si="4"/>
        <v>0</v>
      </c>
      <c r="F22" s="175">
        <f t="shared" si="5"/>
        <v>600</v>
      </c>
      <c r="G22" s="655">
        <f t="shared" si="6"/>
        <v>1176</v>
      </c>
      <c r="H22" s="656">
        <f t="shared" si="7"/>
        <v>-576</v>
      </c>
    </row>
    <row r="23" spans="1:11" x14ac:dyDescent="0.25">
      <c r="A23" s="54">
        <f t="shared" si="8"/>
        <v>38</v>
      </c>
      <c r="B23" s="55">
        <f t="shared" si="1"/>
        <v>800</v>
      </c>
      <c r="C23" s="56">
        <f t="shared" si="2"/>
        <v>0</v>
      </c>
      <c r="D23" s="56">
        <f t="shared" si="3"/>
        <v>0</v>
      </c>
      <c r="E23" s="56">
        <f t="shared" si="4"/>
        <v>0</v>
      </c>
      <c r="F23" s="175">
        <f t="shared" si="5"/>
        <v>800</v>
      </c>
      <c r="G23" s="655">
        <f t="shared" si="6"/>
        <v>1324</v>
      </c>
      <c r="H23" s="656">
        <f t="shared" si="7"/>
        <v>-524</v>
      </c>
    </row>
    <row r="24" spans="1:11" x14ac:dyDescent="0.25">
      <c r="A24" s="54">
        <f t="shared" si="8"/>
        <v>40</v>
      </c>
      <c r="B24" s="55">
        <f t="shared" si="1"/>
        <v>1000</v>
      </c>
      <c r="C24" s="56">
        <f t="shared" si="2"/>
        <v>0</v>
      </c>
      <c r="D24" s="56">
        <f t="shared" si="3"/>
        <v>0</v>
      </c>
      <c r="E24" s="56">
        <f t="shared" si="4"/>
        <v>0</v>
      </c>
      <c r="F24" s="175">
        <f t="shared" si="5"/>
        <v>1000</v>
      </c>
      <c r="G24" s="655">
        <f t="shared" si="6"/>
        <v>1480</v>
      </c>
      <c r="H24" s="656">
        <f t="shared" si="7"/>
        <v>-480</v>
      </c>
    </row>
    <row r="25" spans="1:11" x14ac:dyDescent="0.25">
      <c r="A25" s="54">
        <f t="shared" si="8"/>
        <v>42</v>
      </c>
      <c r="B25" s="55">
        <f t="shared" si="1"/>
        <v>1200</v>
      </c>
      <c r="C25" s="56">
        <f t="shared" si="2"/>
        <v>0</v>
      </c>
      <c r="D25" s="56">
        <f t="shared" si="3"/>
        <v>0</v>
      </c>
      <c r="E25" s="56">
        <f t="shared" si="4"/>
        <v>0</v>
      </c>
      <c r="F25" s="175">
        <f t="shared" si="5"/>
        <v>1200</v>
      </c>
      <c r="G25" s="655">
        <f t="shared" si="6"/>
        <v>1644</v>
      </c>
      <c r="H25" s="656">
        <f t="shared" si="7"/>
        <v>-444</v>
      </c>
      <c r="I25" s="63"/>
    </row>
    <row r="26" spans="1:11" x14ac:dyDescent="0.25">
      <c r="A26" s="54">
        <f t="shared" si="8"/>
        <v>44</v>
      </c>
      <c r="B26" s="55">
        <f t="shared" si="1"/>
        <v>1400</v>
      </c>
      <c r="C26" s="56">
        <f t="shared" si="2"/>
        <v>0</v>
      </c>
      <c r="D26" s="56">
        <f t="shared" si="3"/>
        <v>0</v>
      </c>
      <c r="E26" s="56">
        <f t="shared" si="4"/>
        <v>0</v>
      </c>
      <c r="F26" s="175">
        <f t="shared" si="5"/>
        <v>1400</v>
      </c>
      <c r="G26" s="655">
        <f t="shared" si="6"/>
        <v>1816</v>
      </c>
      <c r="H26" s="656">
        <f t="shared" si="7"/>
        <v>-416</v>
      </c>
    </row>
    <row r="27" spans="1:11" x14ac:dyDescent="0.25">
      <c r="A27" s="54">
        <f t="shared" si="8"/>
        <v>46</v>
      </c>
      <c r="B27" s="55">
        <f t="shared" si="1"/>
        <v>1600</v>
      </c>
      <c r="C27" s="56">
        <f t="shared" si="2"/>
        <v>0</v>
      </c>
      <c r="D27" s="56">
        <f t="shared" si="3"/>
        <v>0</v>
      </c>
      <c r="E27" s="56">
        <f t="shared" si="4"/>
        <v>0</v>
      </c>
      <c r="F27" s="175">
        <f t="shared" si="5"/>
        <v>1600</v>
      </c>
      <c r="G27" s="655">
        <f t="shared" si="6"/>
        <v>1996</v>
      </c>
      <c r="H27" s="656">
        <f t="shared" si="7"/>
        <v>-396</v>
      </c>
    </row>
    <row r="28" spans="1:11" x14ac:dyDescent="0.25">
      <c r="A28" s="54">
        <f t="shared" si="8"/>
        <v>48</v>
      </c>
      <c r="B28" s="55">
        <f t="shared" si="1"/>
        <v>1800</v>
      </c>
      <c r="C28" s="56">
        <f t="shared" si="2"/>
        <v>0</v>
      </c>
      <c r="D28" s="56">
        <f t="shared" si="3"/>
        <v>0</v>
      </c>
      <c r="E28" s="56">
        <f t="shared" si="4"/>
        <v>0</v>
      </c>
      <c r="F28" s="175">
        <f t="shared" si="5"/>
        <v>1800</v>
      </c>
      <c r="G28" s="655">
        <f t="shared" si="6"/>
        <v>2184</v>
      </c>
      <c r="H28" s="656">
        <f t="shared" si="7"/>
        <v>-384</v>
      </c>
    </row>
    <row r="29" spans="1:11" x14ac:dyDescent="0.25">
      <c r="A29" s="54">
        <f t="shared" si="8"/>
        <v>50</v>
      </c>
      <c r="B29" s="55">
        <f t="shared" si="1"/>
        <v>2000</v>
      </c>
      <c r="C29" s="56">
        <f t="shared" si="2"/>
        <v>0</v>
      </c>
      <c r="D29" s="56">
        <f t="shared" si="3"/>
        <v>0</v>
      </c>
      <c r="E29" s="56">
        <f t="shared" si="4"/>
        <v>0</v>
      </c>
      <c r="F29" s="175">
        <f t="shared" si="5"/>
        <v>2000</v>
      </c>
      <c r="G29" s="655">
        <f t="shared" si="6"/>
        <v>2380</v>
      </c>
      <c r="H29" s="656">
        <f t="shared" si="7"/>
        <v>-380</v>
      </c>
    </row>
    <row r="30" spans="1:11" x14ac:dyDescent="0.25">
      <c r="A30" s="54">
        <f t="shared" si="8"/>
        <v>52</v>
      </c>
      <c r="B30" s="55">
        <f t="shared" si="1"/>
        <v>2200</v>
      </c>
      <c r="C30" s="56">
        <f t="shared" si="2"/>
        <v>130</v>
      </c>
      <c r="D30" s="56">
        <f t="shared" si="3"/>
        <v>0</v>
      </c>
      <c r="E30" s="56">
        <f t="shared" si="4"/>
        <v>0</v>
      </c>
      <c r="F30" s="175">
        <f t="shared" si="5"/>
        <v>2330</v>
      </c>
      <c r="G30" s="655">
        <f t="shared" si="6"/>
        <v>2584</v>
      </c>
      <c r="H30" s="656">
        <f t="shared" si="7"/>
        <v>-254</v>
      </c>
    </row>
    <row r="31" spans="1:11" x14ac:dyDescent="0.25">
      <c r="A31" s="54">
        <f t="shared" si="8"/>
        <v>54</v>
      </c>
      <c r="B31" s="55">
        <f t="shared" si="1"/>
        <v>2400</v>
      </c>
      <c r="C31" s="56">
        <f t="shared" si="2"/>
        <v>260</v>
      </c>
      <c r="D31" s="56">
        <f t="shared" si="3"/>
        <v>0</v>
      </c>
      <c r="E31" s="56">
        <f t="shared" si="4"/>
        <v>0</v>
      </c>
      <c r="F31" s="175">
        <f t="shared" si="5"/>
        <v>2660</v>
      </c>
      <c r="G31" s="655">
        <f t="shared" si="6"/>
        <v>2796</v>
      </c>
      <c r="H31" s="656">
        <f t="shared" si="7"/>
        <v>-136</v>
      </c>
    </row>
    <row r="32" spans="1:11" x14ac:dyDescent="0.25">
      <c r="A32" s="54">
        <f t="shared" si="8"/>
        <v>56</v>
      </c>
      <c r="B32" s="55">
        <f t="shared" si="1"/>
        <v>2600</v>
      </c>
      <c r="C32" s="56">
        <f t="shared" si="2"/>
        <v>390</v>
      </c>
      <c r="D32" s="56">
        <f t="shared" si="3"/>
        <v>0</v>
      </c>
      <c r="E32" s="56">
        <f t="shared" si="4"/>
        <v>0</v>
      </c>
      <c r="F32" s="175">
        <f t="shared" si="5"/>
        <v>2990</v>
      </c>
      <c r="G32" s="655">
        <f t="shared" si="6"/>
        <v>3016</v>
      </c>
      <c r="H32" s="656">
        <f t="shared" si="7"/>
        <v>-26</v>
      </c>
    </row>
    <row r="33" spans="1:8" x14ac:dyDescent="0.25">
      <c r="A33" s="54">
        <f t="shared" si="8"/>
        <v>58</v>
      </c>
      <c r="B33" s="55">
        <f t="shared" si="1"/>
        <v>2800</v>
      </c>
      <c r="C33" s="56">
        <f t="shared" si="2"/>
        <v>520</v>
      </c>
      <c r="D33" s="56">
        <f t="shared" si="3"/>
        <v>0</v>
      </c>
      <c r="E33" s="56">
        <f t="shared" si="4"/>
        <v>0</v>
      </c>
      <c r="F33" s="175">
        <f t="shared" si="5"/>
        <v>3320</v>
      </c>
      <c r="G33" s="655">
        <f t="shared" si="6"/>
        <v>3244</v>
      </c>
      <c r="H33" s="656">
        <f t="shared" si="7"/>
        <v>76</v>
      </c>
    </row>
    <row r="34" spans="1:8" x14ac:dyDescent="0.25">
      <c r="A34" s="54">
        <f t="shared" si="8"/>
        <v>60</v>
      </c>
      <c r="B34" s="55">
        <f t="shared" si="1"/>
        <v>3000</v>
      </c>
      <c r="C34" s="56">
        <f t="shared" si="2"/>
        <v>650</v>
      </c>
      <c r="D34" s="56">
        <f t="shared" si="3"/>
        <v>0</v>
      </c>
      <c r="E34" s="56">
        <f t="shared" si="4"/>
        <v>0</v>
      </c>
      <c r="F34" s="175">
        <f t="shared" si="5"/>
        <v>3650</v>
      </c>
      <c r="G34" s="655">
        <f t="shared" si="6"/>
        <v>3480</v>
      </c>
      <c r="H34" s="656">
        <f t="shared" si="7"/>
        <v>170</v>
      </c>
    </row>
    <row r="35" spans="1:8" x14ac:dyDescent="0.25">
      <c r="A35" s="54">
        <f t="shared" si="8"/>
        <v>62</v>
      </c>
      <c r="B35" s="55">
        <f t="shared" si="1"/>
        <v>3200</v>
      </c>
      <c r="C35" s="56">
        <f t="shared" si="2"/>
        <v>780</v>
      </c>
      <c r="D35" s="56">
        <f t="shared" si="3"/>
        <v>0</v>
      </c>
      <c r="E35" s="56">
        <f t="shared" si="4"/>
        <v>0</v>
      </c>
      <c r="F35" s="175">
        <f t="shared" si="5"/>
        <v>3980</v>
      </c>
      <c r="G35" s="655">
        <f t="shared" si="6"/>
        <v>3724</v>
      </c>
      <c r="H35" s="656">
        <f t="shared" si="7"/>
        <v>256</v>
      </c>
    </row>
    <row r="36" spans="1:8" x14ac:dyDescent="0.25">
      <c r="A36" s="54">
        <f t="shared" si="8"/>
        <v>64</v>
      </c>
      <c r="B36" s="55">
        <f t="shared" si="1"/>
        <v>3400</v>
      </c>
      <c r="C36" s="56">
        <f t="shared" si="2"/>
        <v>910</v>
      </c>
      <c r="D36" s="56">
        <f t="shared" si="3"/>
        <v>0</v>
      </c>
      <c r="E36" s="56">
        <f t="shared" si="4"/>
        <v>0</v>
      </c>
      <c r="F36" s="175">
        <f t="shared" si="5"/>
        <v>4310</v>
      </c>
      <c r="G36" s="655">
        <f t="shared" si="6"/>
        <v>3976</v>
      </c>
      <c r="H36" s="656">
        <f t="shared" si="7"/>
        <v>334</v>
      </c>
    </row>
    <row r="37" spans="1:8" x14ac:dyDescent="0.25">
      <c r="A37" s="54">
        <f t="shared" si="8"/>
        <v>66</v>
      </c>
      <c r="B37" s="55">
        <f t="shared" si="1"/>
        <v>3600</v>
      </c>
      <c r="C37" s="56">
        <f t="shared" si="2"/>
        <v>1040</v>
      </c>
      <c r="D37" s="56">
        <f t="shared" si="3"/>
        <v>0</v>
      </c>
      <c r="E37" s="56">
        <f t="shared" si="4"/>
        <v>0</v>
      </c>
      <c r="F37" s="175">
        <f t="shared" si="5"/>
        <v>4640</v>
      </c>
      <c r="G37" s="655">
        <f t="shared" si="6"/>
        <v>4236</v>
      </c>
      <c r="H37" s="656">
        <f t="shared" si="7"/>
        <v>404</v>
      </c>
    </row>
    <row r="38" spans="1:8" x14ac:dyDescent="0.25">
      <c r="A38" s="54">
        <f t="shared" si="8"/>
        <v>68</v>
      </c>
      <c r="B38" s="55">
        <f t="shared" si="1"/>
        <v>3800</v>
      </c>
      <c r="C38" s="56">
        <f t="shared" si="2"/>
        <v>1170</v>
      </c>
      <c r="D38" s="56">
        <f t="shared" si="3"/>
        <v>0</v>
      </c>
      <c r="E38" s="56">
        <f t="shared" si="4"/>
        <v>0</v>
      </c>
      <c r="F38" s="175">
        <f t="shared" si="5"/>
        <v>4970</v>
      </c>
      <c r="G38" s="655">
        <f t="shared" si="6"/>
        <v>4504</v>
      </c>
      <c r="H38" s="656">
        <f t="shared" si="7"/>
        <v>466</v>
      </c>
    </row>
    <row r="39" spans="1:8" x14ac:dyDescent="0.25">
      <c r="A39" s="54">
        <f t="shared" si="8"/>
        <v>70</v>
      </c>
      <c r="B39" s="55">
        <f t="shared" si="1"/>
        <v>4000</v>
      </c>
      <c r="C39" s="56">
        <f t="shared" si="2"/>
        <v>1300</v>
      </c>
      <c r="D39" s="56">
        <f t="shared" si="3"/>
        <v>0</v>
      </c>
      <c r="E39" s="56">
        <f t="shared" si="4"/>
        <v>0</v>
      </c>
      <c r="F39" s="175">
        <f t="shared" si="5"/>
        <v>5300</v>
      </c>
      <c r="G39" s="655">
        <f t="shared" si="6"/>
        <v>4780</v>
      </c>
      <c r="H39" s="656">
        <f t="shared" si="7"/>
        <v>520</v>
      </c>
    </row>
    <row r="40" spans="1:8" x14ac:dyDescent="0.25">
      <c r="A40" s="54">
        <f t="shared" si="8"/>
        <v>72</v>
      </c>
      <c r="B40" s="55">
        <f t="shared" si="1"/>
        <v>4200</v>
      </c>
      <c r="C40" s="56">
        <f t="shared" si="2"/>
        <v>1430</v>
      </c>
      <c r="D40" s="56">
        <f t="shared" si="3"/>
        <v>40</v>
      </c>
      <c r="E40" s="56">
        <f t="shared" si="4"/>
        <v>0</v>
      </c>
      <c r="F40" s="175">
        <f t="shared" si="5"/>
        <v>5670</v>
      </c>
      <c r="G40" s="655">
        <f t="shared" si="6"/>
        <v>5064</v>
      </c>
      <c r="H40" s="656">
        <f t="shared" si="7"/>
        <v>606</v>
      </c>
    </row>
    <row r="41" spans="1:8" x14ac:dyDescent="0.25">
      <c r="A41" s="54">
        <f t="shared" si="8"/>
        <v>74</v>
      </c>
      <c r="B41" s="55">
        <f t="shared" si="1"/>
        <v>4400</v>
      </c>
      <c r="C41" s="56">
        <f t="shared" si="2"/>
        <v>1560</v>
      </c>
      <c r="D41" s="56">
        <f t="shared" si="3"/>
        <v>80</v>
      </c>
      <c r="E41" s="56">
        <f t="shared" si="4"/>
        <v>0</v>
      </c>
      <c r="F41" s="175">
        <f t="shared" si="5"/>
        <v>6040</v>
      </c>
      <c r="G41" s="655">
        <f t="shared" si="6"/>
        <v>5356</v>
      </c>
      <c r="H41" s="656">
        <f t="shared" si="7"/>
        <v>684</v>
      </c>
    </row>
    <row r="42" spans="1:8" x14ac:dyDescent="0.25">
      <c r="A42" s="54">
        <f t="shared" si="8"/>
        <v>76</v>
      </c>
      <c r="B42" s="55">
        <f t="shared" si="1"/>
        <v>4600</v>
      </c>
      <c r="C42" s="56">
        <f t="shared" si="2"/>
        <v>1690</v>
      </c>
      <c r="D42" s="56">
        <f t="shared" si="3"/>
        <v>120</v>
      </c>
      <c r="E42" s="56">
        <f t="shared" si="4"/>
        <v>0</v>
      </c>
      <c r="F42" s="175">
        <f t="shared" si="5"/>
        <v>6410</v>
      </c>
      <c r="G42" s="655">
        <f t="shared" si="6"/>
        <v>5656</v>
      </c>
      <c r="H42" s="656">
        <f t="shared" si="7"/>
        <v>754</v>
      </c>
    </row>
    <row r="43" spans="1:8" x14ac:dyDescent="0.25">
      <c r="A43" s="54">
        <f t="shared" si="8"/>
        <v>78</v>
      </c>
      <c r="B43" s="55">
        <f t="shared" si="1"/>
        <v>4800</v>
      </c>
      <c r="C43" s="56">
        <f t="shared" si="2"/>
        <v>1820</v>
      </c>
      <c r="D43" s="56">
        <f t="shared" si="3"/>
        <v>160</v>
      </c>
      <c r="E43" s="56">
        <f t="shared" si="4"/>
        <v>0</v>
      </c>
      <c r="F43" s="175">
        <f t="shared" si="5"/>
        <v>6780</v>
      </c>
      <c r="G43" s="655">
        <f t="shared" si="6"/>
        <v>5964</v>
      </c>
      <c r="H43" s="656">
        <f t="shared" si="7"/>
        <v>816</v>
      </c>
    </row>
    <row r="44" spans="1:8" x14ac:dyDescent="0.25">
      <c r="A44" s="54">
        <f t="shared" si="8"/>
        <v>80</v>
      </c>
      <c r="B44" s="55">
        <f t="shared" si="1"/>
        <v>5000</v>
      </c>
      <c r="C44" s="56">
        <f t="shared" si="2"/>
        <v>1950</v>
      </c>
      <c r="D44" s="56">
        <f t="shared" si="3"/>
        <v>200</v>
      </c>
      <c r="E44" s="56">
        <f t="shared" si="4"/>
        <v>0</v>
      </c>
      <c r="F44" s="175">
        <f t="shared" si="5"/>
        <v>7150</v>
      </c>
      <c r="G44" s="655">
        <f t="shared" si="6"/>
        <v>6280</v>
      </c>
      <c r="H44" s="656">
        <f t="shared" si="7"/>
        <v>870</v>
      </c>
    </row>
    <row r="45" spans="1:8" x14ac:dyDescent="0.25">
      <c r="A45" s="54">
        <f t="shared" si="8"/>
        <v>82</v>
      </c>
      <c r="B45" s="55">
        <f t="shared" si="1"/>
        <v>5200</v>
      </c>
      <c r="C45" s="56">
        <f t="shared" si="2"/>
        <v>2080</v>
      </c>
      <c r="D45" s="56">
        <f t="shared" si="3"/>
        <v>240</v>
      </c>
      <c r="E45" s="56">
        <f t="shared" si="4"/>
        <v>0</v>
      </c>
      <c r="F45" s="175">
        <f t="shared" si="5"/>
        <v>7520</v>
      </c>
      <c r="G45" s="655">
        <f t="shared" si="6"/>
        <v>6604</v>
      </c>
      <c r="H45" s="656">
        <f t="shared" si="7"/>
        <v>916</v>
      </c>
    </row>
    <row r="46" spans="1:8" x14ac:dyDescent="0.25">
      <c r="A46" s="54">
        <f t="shared" si="8"/>
        <v>84</v>
      </c>
      <c r="B46" s="55">
        <f t="shared" si="1"/>
        <v>5400</v>
      </c>
      <c r="C46" s="56">
        <f t="shared" si="2"/>
        <v>2210</v>
      </c>
      <c r="D46" s="56">
        <f t="shared" si="3"/>
        <v>280</v>
      </c>
      <c r="E46" s="56">
        <f t="shared" si="4"/>
        <v>0</v>
      </c>
      <c r="F46" s="175">
        <f t="shared" si="5"/>
        <v>7890</v>
      </c>
      <c r="G46" s="655">
        <f t="shared" si="6"/>
        <v>6936</v>
      </c>
      <c r="H46" s="656">
        <f t="shared" si="7"/>
        <v>954</v>
      </c>
    </row>
    <row r="47" spans="1:8" x14ac:dyDescent="0.25">
      <c r="A47" s="54">
        <f t="shared" si="8"/>
        <v>86</v>
      </c>
      <c r="B47" s="55">
        <f t="shared" si="1"/>
        <v>5600</v>
      </c>
      <c r="C47" s="56">
        <f t="shared" si="2"/>
        <v>2340</v>
      </c>
      <c r="D47" s="56">
        <f t="shared" si="3"/>
        <v>320</v>
      </c>
      <c r="E47" s="56">
        <f t="shared" si="4"/>
        <v>0</v>
      </c>
      <c r="F47" s="175">
        <f t="shared" si="5"/>
        <v>8260</v>
      </c>
      <c r="G47" s="655">
        <f t="shared" si="6"/>
        <v>7276</v>
      </c>
      <c r="H47" s="656">
        <f t="shared" si="7"/>
        <v>984</v>
      </c>
    </row>
    <row r="48" spans="1:8" x14ac:dyDescent="0.25">
      <c r="A48" s="54">
        <f t="shared" si="8"/>
        <v>88</v>
      </c>
      <c r="B48" s="55">
        <f t="shared" si="1"/>
        <v>5800</v>
      </c>
      <c r="C48" s="56">
        <f t="shared" si="2"/>
        <v>2470</v>
      </c>
      <c r="D48" s="56">
        <f t="shared" si="3"/>
        <v>360</v>
      </c>
      <c r="E48" s="56">
        <f t="shared" si="4"/>
        <v>0</v>
      </c>
      <c r="F48" s="175">
        <f t="shared" si="5"/>
        <v>8630</v>
      </c>
      <c r="G48" s="655">
        <f t="shared" si="6"/>
        <v>7624</v>
      </c>
      <c r="H48" s="656">
        <f t="shared" si="7"/>
        <v>1006</v>
      </c>
    </row>
    <row r="49" spans="1:8" x14ac:dyDescent="0.25">
      <c r="A49" s="54">
        <f t="shared" si="8"/>
        <v>90</v>
      </c>
      <c r="B49" s="55">
        <f t="shared" si="1"/>
        <v>6000</v>
      </c>
      <c r="C49" s="56">
        <f t="shared" si="2"/>
        <v>2600</v>
      </c>
      <c r="D49" s="56">
        <f t="shared" si="3"/>
        <v>400</v>
      </c>
      <c r="E49" s="56">
        <f t="shared" si="4"/>
        <v>0</v>
      </c>
      <c r="F49" s="175">
        <f t="shared" si="5"/>
        <v>9000</v>
      </c>
      <c r="G49" s="655">
        <f t="shared" si="6"/>
        <v>7980</v>
      </c>
      <c r="H49" s="656">
        <f t="shared" si="7"/>
        <v>1020</v>
      </c>
    </row>
    <row r="50" spans="1:8" x14ac:dyDescent="0.25">
      <c r="A50" s="54">
        <f t="shared" si="8"/>
        <v>92</v>
      </c>
      <c r="B50" s="55">
        <f t="shared" si="1"/>
        <v>6200</v>
      </c>
      <c r="C50" s="56">
        <f t="shared" si="2"/>
        <v>2730</v>
      </c>
      <c r="D50" s="56">
        <f t="shared" si="3"/>
        <v>440</v>
      </c>
      <c r="E50" s="56">
        <f t="shared" si="4"/>
        <v>0</v>
      </c>
      <c r="F50" s="175">
        <f t="shared" si="5"/>
        <v>9370</v>
      </c>
      <c r="G50" s="655">
        <f t="shared" si="6"/>
        <v>8344</v>
      </c>
      <c r="H50" s="656">
        <f t="shared" si="7"/>
        <v>1026</v>
      </c>
    </row>
    <row r="51" spans="1:8" x14ac:dyDescent="0.25">
      <c r="A51" s="54">
        <f t="shared" si="8"/>
        <v>94</v>
      </c>
      <c r="B51" s="55">
        <f t="shared" si="1"/>
        <v>6400</v>
      </c>
      <c r="C51" s="56">
        <f t="shared" si="2"/>
        <v>2860</v>
      </c>
      <c r="D51" s="56">
        <f t="shared" si="3"/>
        <v>480</v>
      </c>
      <c r="E51" s="56">
        <f t="shared" si="4"/>
        <v>0</v>
      </c>
      <c r="F51" s="175">
        <f t="shared" si="5"/>
        <v>9740</v>
      </c>
      <c r="G51" s="655">
        <f t="shared" si="6"/>
        <v>8716</v>
      </c>
      <c r="H51" s="656">
        <f t="shared" si="7"/>
        <v>1024</v>
      </c>
    </row>
    <row r="52" spans="1:8" x14ac:dyDescent="0.25">
      <c r="A52" s="54">
        <f t="shared" si="8"/>
        <v>96</v>
      </c>
      <c r="B52" s="55">
        <f t="shared" si="1"/>
        <v>6600</v>
      </c>
      <c r="C52" s="56">
        <f t="shared" si="2"/>
        <v>2990</v>
      </c>
      <c r="D52" s="56">
        <f t="shared" si="3"/>
        <v>520</v>
      </c>
      <c r="E52" s="56">
        <f t="shared" si="4"/>
        <v>0</v>
      </c>
      <c r="F52" s="175">
        <f t="shared" si="5"/>
        <v>10110</v>
      </c>
      <c r="G52" s="655">
        <f t="shared" si="6"/>
        <v>9096</v>
      </c>
      <c r="H52" s="656">
        <f t="shared" si="7"/>
        <v>1014</v>
      </c>
    </row>
    <row r="53" spans="1:8" x14ac:dyDescent="0.25">
      <c r="A53" s="54">
        <f t="shared" si="8"/>
        <v>98</v>
      </c>
      <c r="B53" s="55">
        <f t="shared" si="1"/>
        <v>6800</v>
      </c>
      <c r="C53" s="56">
        <f t="shared" si="2"/>
        <v>3120</v>
      </c>
      <c r="D53" s="56">
        <f t="shared" si="3"/>
        <v>560</v>
      </c>
      <c r="E53" s="56">
        <f t="shared" si="4"/>
        <v>0</v>
      </c>
      <c r="F53" s="175">
        <f t="shared" si="5"/>
        <v>10480</v>
      </c>
      <c r="G53" s="655">
        <f t="shared" si="6"/>
        <v>9484</v>
      </c>
      <c r="H53" s="656">
        <f t="shared" si="7"/>
        <v>996</v>
      </c>
    </row>
    <row r="54" spans="1:8" x14ac:dyDescent="0.25">
      <c r="A54" s="54">
        <f t="shared" si="8"/>
        <v>100</v>
      </c>
      <c r="B54" s="55">
        <f t="shared" si="1"/>
        <v>7000</v>
      </c>
      <c r="C54" s="56">
        <f t="shared" si="2"/>
        <v>3250</v>
      </c>
      <c r="D54" s="56">
        <f t="shared" si="3"/>
        <v>600</v>
      </c>
      <c r="E54" s="56">
        <f t="shared" si="4"/>
        <v>0</v>
      </c>
      <c r="F54" s="175">
        <f t="shared" si="5"/>
        <v>10850</v>
      </c>
      <c r="G54" s="655">
        <f t="shared" si="6"/>
        <v>9880</v>
      </c>
      <c r="H54" s="656">
        <f t="shared" si="7"/>
        <v>970</v>
      </c>
    </row>
    <row r="55" spans="1:8" x14ac:dyDescent="0.25">
      <c r="A55" s="54">
        <f t="shared" si="8"/>
        <v>102</v>
      </c>
      <c r="B55" s="55">
        <f t="shared" si="1"/>
        <v>7200</v>
      </c>
      <c r="C55" s="56">
        <f t="shared" si="2"/>
        <v>3380</v>
      </c>
      <c r="D55" s="56">
        <f t="shared" si="3"/>
        <v>640</v>
      </c>
      <c r="E55" s="56">
        <f t="shared" si="4"/>
        <v>100</v>
      </c>
      <c r="F55" s="175">
        <f t="shared" si="5"/>
        <v>11320</v>
      </c>
      <c r="G55" s="655">
        <f t="shared" si="6"/>
        <v>10284</v>
      </c>
      <c r="H55" s="656">
        <f t="shared" si="7"/>
        <v>1036</v>
      </c>
    </row>
    <row r="56" spans="1:8" x14ac:dyDescent="0.25">
      <c r="A56" s="54">
        <f t="shared" si="8"/>
        <v>104</v>
      </c>
      <c r="B56" s="55">
        <f t="shared" si="1"/>
        <v>7400</v>
      </c>
      <c r="C56" s="56">
        <f t="shared" si="2"/>
        <v>3510</v>
      </c>
      <c r="D56" s="56">
        <f t="shared" si="3"/>
        <v>680</v>
      </c>
      <c r="E56" s="56">
        <f t="shared" si="4"/>
        <v>200</v>
      </c>
      <c r="F56" s="175">
        <f t="shared" si="5"/>
        <v>11790</v>
      </c>
      <c r="G56" s="655">
        <f t="shared" si="6"/>
        <v>10696</v>
      </c>
      <c r="H56" s="656">
        <f t="shared" si="7"/>
        <v>1094</v>
      </c>
    </row>
    <row r="57" spans="1:8" x14ac:dyDescent="0.25">
      <c r="A57" s="54">
        <f t="shared" si="8"/>
        <v>106</v>
      </c>
      <c r="B57" s="55">
        <f t="shared" si="1"/>
        <v>7600</v>
      </c>
      <c r="C57" s="56">
        <f t="shared" si="2"/>
        <v>3640</v>
      </c>
      <c r="D57" s="56">
        <f t="shared" si="3"/>
        <v>720</v>
      </c>
      <c r="E57" s="56">
        <f t="shared" si="4"/>
        <v>300</v>
      </c>
      <c r="F57" s="175">
        <f t="shared" si="5"/>
        <v>12260</v>
      </c>
      <c r="G57" s="655">
        <f t="shared" si="6"/>
        <v>11116</v>
      </c>
      <c r="H57" s="656">
        <f t="shared" si="7"/>
        <v>1144</v>
      </c>
    </row>
    <row r="58" spans="1:8" x14ac:dyDescent="0.25">
      <c r="A58" s="54">
        <f t="shared" si="8"/>
        <v>108</v>
      </c>
      <c r="B58" s="55">
        <f t="shared" si="1"/>
        <v>7800</v>
      </c>
      <c r="C58" s="56">
        <f t="shared" si="2"/>
        <v>3770</v>
      </c>
      <c r="D58" s="56">
        <f t="shared" si="3"/>
        <v>760</v>
      </c>
      <c r="E58" s="56">
        <f t="shared" si="4"/>
        <v>400</v>
      </c>
      <c r="F58" s="175">
        <f t="shared" si="5"/>
        <v>12730</v>
      </c>
      <c r="G58" s="655">
        <f t="shared" si="6"/>
        <v>11544</v>
      </c>
      <c r="H58" s="656">
        <f t="shared" si="7"/>
        <v>1186</v>
      </c>
    </row>
    <row r="59" spans="1:8" x14ac:dyDescent="0.25">
      <c r="A59" s="54">
        <f t="shared" si="8"/>
        <v>110</v>
      </c>
      <c r="B59" s="55">
        <f t="shared" si="1"/>
        <v>8000</v>
      </c>
      <c r="C59" s="56">
        <f t="shared" si="2"/>
        <v>3900</v>
      </c>
      <c r="D59" s="56">
        <f t="shared" si="3"/>
        <v>800</v>
      </c>
      <c r="E59" s="56">
        <f t="shared" si="4"/>
        <v>500</v>
      </c>
      <c r="F59" s="175">
        <f t="shared" si="5"/>
        <v>13200</v>
      </c>
      <c r="G59" s="655">
        <f t="shared" si="6"/>
        <v>11980</v>
      </c>
      <c r="H59" s="656">
        <f t="shared" si="7"/>
        <v>1220</v>
      </c>
    </row>
    <row r="60" spans="1:8" x14ac:dyDescent="0.25">
      <c r="A60" s="54">
        <f t="shared" si="8"/>
        <v>112</v>
      </c>
      <c r="B60" s="55">
        <f t="shared" si="1"/>
        <v>8200</v>
      </c>
      <c r="C60" s="56">
        <f t="shared" si="2"/>
        <v>4030</v>
      </c>
      <c r="D60" s="56">
        <f t="shared" si="3"/>
        <v>840</v>
      </c>
      <c r="E60" s="56">
        <f t="shared" si="4"/>
        <v>600</v>
      </c>
      <c r="F60" s="175">
        <f t="shared" si="5"/>
        <v>13670</v>
      </c>
      <c r="G60" s="655">
        <f t="shared" si="6"/>
        <v>12424</v>
      </c>
      <c r="H60" s="656">
        <f t="shared" si="7"/>
        <v>1246</v>
      </c>
    </row>
    <row r="61" spans="1:8" x14ac:dyDescent="0.25">
      <c r="A61" s="54">
        <f t="shared" si="8"/>
        <v>114</v>
      </c>
      <c r="B61" s="55">
        <f t="shared" si="1"/>
        <v>8400</v>
      </c>
      <c r="C61" s="56">
        <f t="shared" si="2"/>
        <v>4160</v>
      </c>
      <c r="D61" s="56">
        <f t="shared" si="3"/>
        <v>880</v>
      </c>
      <c r="E61" s="56">
        <f t="shared" si="4"/>
        <v>700</v>
      </c>
      <c r="F61" s="175">
        <f t="shared" si="5"/>
        <v>14140</v>
      </c>
      <c r="G61" s="655">
        <f t="shared" si="6"/>
        <v>12876</v>
      </c>
      <c r="H61" s="656">
        <f t="shared" si="7"/>
        <v>1264</v>
      </c>
    </row>
    <row r="62" spans="1:8" x14ac:dyDescent="0.25">
      <c r="A62" s="54">
        <f t="shared" si="8"/>
        <v>116</v>
      </c>
      <c r="B62" s="55">
        <f t="shared" si="1"/>
        <v>8600</v>
      </c>
      <c r="C62" s="56">
        <f t="shared" si="2"/>
        <v>4290</v>
      </c>
      <c r="D62" s="56">
        <f t="shared" si="3"/>
        <v>920</v>
      </c>
      <c r="E62" s="56">
        <f t="shared" si="4"/>
        <v>800</v>
      </c>
      <c r="F62" s="175">
        <f t="shared" si="5"/>
        <v>14610</v>
      </c>
      <c r="G62" s="655">
        <f t="shared" si="6"/>
        <v>13336</v>
      </c>
      <c r="H62" s="656">
        <f t="shared" si="7"/>
        <v>1274</v>
      </c>
    </row>
    <row r="63" spans="1:8" x14ac:dyDescent="0.25">
      <c r="A63" s="54">
        <f t="shared" si="8"/>
        <v>118</v>
      </c>
      <c r="B63" s="55">
        <f t="shared" si="1"/>
        <v>8800</v>
      </c>
      <c r="C63" s="56">
        <f t="shared" si="2"/>
        <v>4420</v>
      </c>
      <c r="D63" s="56">
        <f t="shared" si="3"/>
        <v>960</v>
      </c>
      <c r="E63" s="56">
        <f t="shared" si="4"/>
        <v>900</v>
      </c>
      <c r="F63" s="175">
        <f t="shared" si="5"/>
        <v>15080</v>
      </c>
      <c r="G63" s="655">
        <f t="shared" si="6"/>
        <v>13804</v>
      </c>
      <c r="H63" s="656">
        <f t="shared" si="7"/>
        <v>1276</v>
      </c>
    </row>
    <row r="64" spans="1:8" x14ac:dyDescent="0.25">
      <c r="A64" s="54">
        <f t="shared" si="8"/>
        <v>120</v>
      </c>
      <c r="B64" s="55">
        <f t="shared" si="1"/>
        <v>9000</v>
      </c>
      <c r="C64" s="56">
        <f t="shared" si="2"/>
        <v>4550</v>
      </c>
      <c r="D64" s="56">
        <f t="shared" si="3"/>
        <v>1000</v>
      </c>
      <c r="E64" s="56">
        <f t="shared" si="4"/>
        <v>1000</v>
      </c>
      <c r="F64" s="175">
        <f t="shared" si="5"/>
        <v>15550</v>
      </c>
      <c r="G64" s="655">
        <f t="shared" si="6"/>
        <v>14280</v>
      </c>
      <c r="H64" s="656">
        <f t="shared" si="7"/>
        <v>1270</v>
      </c>
    </row>
    <row r="65" spans="1:8" x14ac:dyDescent="0.25">
      <c r="A65" s="54">
        <f t="shared" si="8"/>
        <v>122</v>
      </c>
      <c r="B65" s="55">
        <f t="shared" si="1"/>
        <v>9200</v>
      </c>
      <c r="C65" s="56">
        <f t="shared" si="2"/>
        <v>4680</v>
      </c>
      <c r="D65" s="56">
        <f t="shared" si="3"/>
        <v>1040</v>
      </c>
      <c r="E65" s="56">
        <f t="shared" si="4"/>
        <v>1100</v>
      </c>
      <c r="F65" s="175">
        <f t="shared" si="5"/>
        <v>16020</v>
      </c>
      <c r="G65" s="655">
        <f t="shared" si="6"/>
        <v>14764</v>
      </c>
      <c r="H65" s="656">
        <f t="shared" si="7"/>
        <v>1256</v>
      </c>
    </row>
    <row r="66" spans="1:8" x14ac:dyDescent="0.25">
      <c r="A66" s="54">
        <f t="shared" si="8"/>
        <v>124</v>
      </c>
      <c r="B66" s="55">
        <f t="shared" si="1"/>
        <v>9400</v>
      </c>
      <c r="C66" s="56">
        <f t="shared" si="2"/>
        <v>4810</v>
      </c>
      <c r="D66" s="56">
        <f t="shared" si="3"/>
        <v>1080</v>
      </c>
      <c r="E66" s="56">
        <f t="shared" si="4"/>
        <v>1200</v>
      </c>
      <c r="F66" s="175">
        <f t="shared" si="5"/>
        <v>16490</v>
      </c>
      <c r="G66" s="655">
        <f t="shared" si="6"/>
        <v>15256</v>
      </c>
      <c r="H66" s="656">
        <f t="shared" si="7"/>
        <v>1234</v>
      </c>
    </row>
    <row r="67" spans="1:8" x14ac:dyDescent="0.25">
      <c r="A67" s="54">
        <f t="shared" si="8"/>
        <v>126</v>
      </c>
      <c r="B67" s="55">
        <f t="shared" si="1"/>
        <v>9600</v>
      </c>
      <c r="C67" s="56">
        <f t="shared" si="2"/>
        <v>4940</v>
      </c>
      <c r="D67" s="56">
        <f t="shared" si="3"/>
        <v>1120</v>
      </c>
      <c r="E67" s="56">
        <f t="shared" si="4"/>
        <v>1300</v>
      </c>
      <c r="F67" s="175">
        <f t="shared" si="5"/>
        <v>16960</v>
      </c>
      <c r="G67" s="655">
        <f t="shared" si="6"/>
        <v>15756</v>
      </c>
      <c r="H67" s="656">
        <f t="shared" si="7"/>
        <v>1204</v>
      </c>
    </row>
    <row r="68" spans="1:8" x14ac:dyDescent="0.25">
      <c r="A68" s="54">
        <f t="shared" si="8"/>
        <v>128</v>
      </c>
      <c r="B68" s="55">
        <f t="shared" si="1"/>
        <v>9800</v>
      </c>
      <c r="C68" s="56">
        <f t="shared" si="2"/>
        <v>5070</v>
      </c>
      <c r="D68" s="56">
        <f t="shared" si="3"/>
        <v>1160</v>
      </c>
      <c r="E68" s="56">
        <f t="shared" si="4"/>
        <v>1400</v>
      </c>
      <c r="F68" s="175">
        <f t="shared" si="5"/>
        <v>17430</v>
      </c>
      <c r="G68" s="655">
        <f t="shared" si="6"/>
        <v>16264</v>
      </c>
      <c r="H68" s="656">
        <f t="shared" si="7"/>
        <v>1166</v>
      </c>
    </row>
    <row r="69" spans="1:8" x14ac:dyDescent="0.25">
      <c r="A69" s="54">
        <f t="shared" si="8"/>
        <v>130</v>
      </c>
      <c r="B69" s="55">
        <f t="shared" ref="B69:B104" si="9">(MAX(IF($B$1="C",1,-1)*(A69-$K$5),0)-IF($K$10="Y",$K$13*EXP($K$6*$K$9),0))*$K$4</f>
        <v>10000</v>
      </c>
      <c r="C69" s="56">
        <f t="shared" ref="C69:C104" si="10">(MAX(IF($C$1="C",1,-1)*(A69-$L$5),0)-IF($K$10="Y",$L$13*EXP($K$6*$K$9),0))*$L$4</f>
        <v>5200</v>
      </c>
      <c r="D69" s="56">
        <f t="shared" ref="D69:D104" si="11">(MAX(IF($D$1="C",1,-1)*(A69-$M$5),0)-IF($K$10="Y",$M$13*EXP($K$6*$K$9),0))*$M$4</f>
        <v>1200</v>
      </c>
      <c r="E69" s="56">
        <f t="shared" ref="E69:E104" si="12">(MAX(IF($E$1="C",1,-1)*(A69-$N$5),0)-IF($K$10="Y",$N$13*EXP($K$6*$K$9),0))*$N$4</f>
        <v>1500</v>
      </c>
      <c r="F69" s="175">
        <f t="shared" ref="F69:F104" si="13">SUM(B69:E69)</f>
        <v>17900</v>
      </c>
      <c r="G69" s="655">
        <f t="shared" ref="G69:G104" si="14">IF(A69&lt;SQRT($K$16),0,(A69)^2-$K$16)</f>
        <v>16780</v>
      </c>
      <c r="H69" s="656">
        <f t="shared" ref="H69:H104" si="15">F69-G69</f>
        <v>1120</v>
      </c>
    </row>
    <row r="70" spans="1:8" x14ac:dyDescent="0.25">
      <c r="A70" s="54">
        <f t="shared" ref="A70:A104" si="16">A69+2</f>
        <v>132</v>
      </c>
      <c r="B70" s="55">
        <f t="shared" si="9"/>
        <v>10200</v>
      </c>
      <c r="C70" s="56">
        <f t="shared" si="10"/>
        <v>5330</v>
      </c>
      <c r="D70" s="56">
        <f t="shared" si="11"/>
        <v>1240</v>
      </c>
      <c r="E70" s="56">
        <f t="shared" si="12"/>
        <v>1600</v>
      </c>
      <c r="F70" s="175">
        <f t="shared" si="13"/>
        <v>18370</v>
      </c>
      <c r="G70" s="655">
        <f t="shared" si="14"/>
        <v>17304</v>
      </c>
      <c r="H70" s="656">
        <f t="shared" si="15"/>
        <v>1066</v>
      </c>
    </row>
    <row r="71" spans="1:8" x14ac:dyDescent="0.25">
      <c r="A71" s="54">
        <f t="shared" si="16"/>
        <v>134</v>
      </c>
      <c r="B71" s="55">
        <f t="shared" si="9"/>
        <v>10400</v>
      </c>
      <c r="C71" s="56">
        <f t="shared" si="10"/>
        <v>5460</v>
      </c>
      <c r="D71" s="56">
        <f t="shared" si="11"/>
        <v>1280</v>
      </c>
      <c r="E71" s="56">
        <f t="shared" si="12"/>
        <v>1700</v>
      </c>
      <c r="F71" s="175">
        <f t="shared" si="13"/>
        <v>18840</v>
      </c>
      <c r="G71" s="655">
        <f t="shared" si="14"/>
        <v>17836</v>
      </c>
      <c r="H71" s="656">
        <f t="shared" si="15"/>
        <v>1004</v>
      </c>
    </row>
    <row r="72" spans="1:8" x14ac:dyDescent="0.25">
      <c r="A72" s="54">
        <f t="shared" si="16"/>
        <v>136</v>
      </c>
      <c r="B72" s="55">
        <f t="shared" si="9"/>
        <v>10600</v>
      </c>
      <c r="C72" s="56">
        <f t="shared" si="10"/>
        <v>5590</v>
      </c>
      <c r="D72" s="56">
        <f t="shared" si="11"/>
        <v>1320</v>
      </c>
      <c r="E72" s="56">
        <f t="shared" si="12"/>
        <v>1800</v>
      </c>
      <c r="F72" s="175">
        <f t="shared" si="13"/>
        <v>19310</v>
      </c>
      <c r="G72" s="655">
        <f t="shared" si="14"/>
        <v>18376</v>
      </c>
      <c r="H72" s="656">
        <f t="shared" si="15"/>
        <v>934</v>
      </c>
    </row>
    <row r="73" spans="1:8" x14ac:dyDescent="0.25">
      <c r="A73" s="54">
        <f t="shared" si="16"/>
        <v>138</v>
      </c>
      <c r="B73" s="55">
        <f t="shared" si="9"/>
        <v>10800</v>
      </c>
      <c r="C73" s="56">
        <f t="shared" si="10"/>
        <v>5720</v>
      </c>
      <c r="D73" s="56">
        <f t="shared" si="11"/>
        <v>1360</v>
      </c>
      <c r="E73" s="56">
        <f t="shared" si="12"/>
        <v>1900</v>
      </c>
      <c r="F73" s="175">
        <f t="shared" si="13"/>
        <v>19780</v>
      </c>
      <c r="G73" s="655">
        <f t="shared" si="14"/>
        <v>18924</v>
      </c>
      <c r="H73" s="656">
        <f t="shared" si="15"/>
        <v>856</v>
      </c>
    </row>
    <row r="74" spans="1:8" x14ac:dyDescent="0.25">
      <c r="A74" s="54">
        <f t="shared" si="16"/>
        <v>140</v>
      </c>
      <c r="B74" s="55">
        <f t="shared" si="9"/>
        <v>11000</v>
      </c>
      <c r="C74" s="56">
        <f t="shared" si="10"/>
        <v>5850</v>
      </c>
      <c r="D74" s="56">
        <f t="shared" si="11"/>
        <v>1400</v>
      </c>
      <c r="E74" s="56">
        <f t="shared" si="12"/>
        <v>2000</v>
      </c>
      <c r="F74" s="175">
        <f t="shared" si="13"/>
        <v>20250</v>
      </c>
      <c r="G74" s="655">
        <f t="shared" si="14"/>
        <v>19480</v>
      </c>
      <c r="H74" s="656">
        <f t="shared" si="15"/>
        <v>770</v>
      </c>
    </row>
    <row r="75" spans="1:8" x14ac:dyDescent="0.25">
      <c r="A75" s="54">
        <f t="shared" si="16"/>
        <v>142</v>
      </c>
      <c r="B75" s="55">
        <f t="shared" si="9"/>
        <v>11200</v>
      </c>
      <c r="C75" s="56">
        <f t="shared" si="10"/>
        <v>5980</v>
      </c>
      <c r="D75" s="56">
        <f t="shared" si="11"/>
        <v>1440</v>
      </c>
      <c r="E75" s="56">
        <f t="shared" si="12"/>
        <v>2100</v>
      </c>
      <c r="F75" s="175">
        <f t="shared" si="13"/>
        <v>20720</v>
      </c>
      <c r="G75" s="655">
        <f t="shared" si="14"/>
        <v>20044</v>
      </c>
      <c r="H75" s="656">
        <f t="shared" si="15"/>
        <v>676</v>
      </c>
    </row>
    <row r="76" spans="1:8" x14ac:dyDescent="0.25">
      <c r="A76" s="54">
        <f t="shared" si="16"/>
        <v>144</v>
      </c>
      <c r="B76" s="55">
        <f t="shared" si="9"/>
        <v>11400</v>
      </c>
      <c r="C76" s="56">
        <f t="shared" si="10"/>
        <v>6110</v>
      </c>
      <c r="D76" s="56">
        <f t="shared" si="11"/>
        <v>1480</v>
      </c>
      <c r="E76" s="56">
        <f t="shared" si="12"/>
        <v>2200</v>
      </c>
      <c r="F76" s="175">
        <f t="shared" si="13"/>
        <v>21190</v>
      </c>
      <c r="G76" s="655">
        <f t="shared" si="14"/>
        <v>20616</v>
      </c>
      <c r="H76" s="656">
        <f t="shared" si="15"/>
        <v>574</v>
      </c>
    </row>
    <row r="77" spans="1:8" x14ac:dyDescent="0.25">
      <c r="A77" s="54">
        <f t="shared" si="16"/>
        <v>146</v>
      </c>
      <c r="B77" s="55">
        <f t="shared" si="9"/>
        <v>11600</v>
      </c>
      <c r="C77" s="56">
        <f t="shared" si="10"/>
        <v>6240</v>
      </c>
      <c r="D77" s="56">
        <f t="shared" si="11"/>
        <v>1520</v>
      </c>
      <c r="E77" s="56">
        <f t="shared" si="12"/>
        <v>2300</v>
      </c>
      <c r="F77" s="175">
        <f t="shared" si="13"/>
        <v>21660</v>
      </c>
      <c r="G77" s="655">
        <f t="shared" si="14"/>
        <v>21196</v>
      </c>
      <c r="H77" s="656">
        <f t="shared" si="15"/>
        <v>464</v>
      </c>
    </row>
    <row r="78" spans="1:8" x14ac:dyDescent="0.25">
      <c r="A78" s="54">
        <f t="shared" si="16"/>
        <v>148</v>
      </c>
      <c r="B78" s="55">
        <f t="shared" si="9"/>
        <v>11800</v>
      </c>
      <c r="C78" s="56">
        <f t="shared" si="10"/>
        <v>6370</v>
      </c>
      <c r="D78" s="56">
        <f t="shared" si="11"/>
        <v>1560</v>
      </c>
      <c r="E78" s="56">
        <f t="shared" si="12"/>
        <v>2400</v>
      </c>
      <c r="F78" s="175">
        <f t="shared" si="13"/>
        <v>22130</v>
      </c>
      <c r="G78" s="655">
        <f t="shared" si="14"/>
        <v>21784</v>
      </c>
      <c r="H78" s="656">
        <f t="shared" si="15"/>
        <v>346</v>
      </c>
    </row>
    <row r="79" spans="1:8" x14ac:dyDescent="0.25">
      <c r="A79" s="54">
        <f t="shared" si="16"/>
        <v>150</v>
      </c>
      <c r="B79" s="55">
        <f t="shared" si="9"/>
        <v>12000</v>
      </c>
      <c r="C79" s="56">
        <f t="shared" si="10"/>
        <v>6500</v>
      </c>
      <c r="D79" s="56">
        <f t="shared" si="11"/>
        <v>1600</v>
      </c>
      <c r="E79" s="56">
        <f t="shared" si="12"/>
        <v>2500</v>
      </c>
      <c r="F79" s="175">
        <f t="shared" si="13"/>
        <v>22600</v>
      </c>
      <c r="G79" s="655">
        <f t="shared" si="14"/>
        <v>22380</v>
      </c>
      <c r="H79" s="656">
        <f t="shared" si="15"/>
        <v>220</v>
      </c>
    </row>
    <row r="80" spans="1:8" x14ac:dyDescent="0.25">
      <c r="A80" s="54">
        <f t="shared" si="16"/>
        <v>152</v>
      </c>
      <c r="B80" s="55">
        <f t="shared" si="9"/>
        <v>12200</v>
      </c>
      <c r="C80" s="56">
        <f t="shared" si="10"/>
        <v>6630</v>
      </c>
      <c r="D80" s="56">
        <f t="shared" si="11"/>
        <v>1640</v>
      </c>
      <c r="E80" s="56">
        <f t="shared" si="12"/>
        <v>2600</v>
      </c>
      <c r="F80" s="175">
        <f t="shared" si="13"/>
        <v>23070</v>
      </c>
      <c r="G80" s="655">
        <f t="shared" si="14"/>
        <v>22984</v>
      </c>
      <c r="H80" s="656">
        <f t="shared" si="15"/>
        <v>86</v>
      </c>
    </row>
    <row r="81" spans="1:8" x14ac:dyDescent="0.25">
      <c r="A81" s="54">
        <f t="shared" si="16"/>
        <v>154</v>
      </c>
      <c r="B81" s="55">
        <f t="shared" si="9"/>
        <v>12400</v>
      </c>
      <c r="C81" s="56">
        <f t="shared" si="10"/>
        <v>6760</v>
      </c>
      <c r="D81" s="56">
        <f t="shared" si="11"/>
        <v>1680</v>
      </c>
      <c r="E81" s="56">
        <f t="shared" si="12"/>
        <v>2700</v>
      </c>
      <c r="F81" s="175">
        <f t="shared" si="13"/>
        <v>23540</v>
      </c>
      <c r="G81" s="655">
        <f t="shared" si="14"/>
        <v>23596</v>
      </c>
      <c r="H81" s="656">
        <f t="shared" si="15"/>
        <v>-56</v>
      </c>
    </row>
    <row r="82" spans="1:8" x14ac:dyDescent="0.25">
      <c r="A82" s="54">
        <f t="shared" si="16"/>
        <v>156</v>
      </c>
      <c r="B82" s="55">
        <f t="shared" si="9"/>
        <v>12600</v>
      </c>
      <c r="C82" s="56">
        <f t="shared" si="10"/>
        <v>6890</v>
      </c>
      <c r="D82" s="56">
        <f t="shared" si="11"/>
        <v>1720</v>
      </c>
      <c r="E82" s="56">
        <f t="shared" si="12"/>
        <v>2800</v>
      </c>
      <c r="F82" s="175">
        <f t="shared" si="13"/>
        <v>24010</v>
      </c>
      <c r="G82" s="655">
        <f t="shared" si="14"/>
        <v>24216</v>
      </c>
      <c r="H82" s="656">
        <f t="shared" si="15"/>
        <v>-206</v>
      </c>
    </row>
    <row r="83" spans="1:8" x14ac:dyDescent="0.25">
      <c r="A83" s="54">
        <f t="shared" si="16"/>
        <v>158</v>
      </c>
      <c r="B83" s="55">
        <f t="shared" si="9"/>
        <v>12800</v>
      </c>
      <c r="C83" s="56">
        <f t="shared" si="10"/>
        <v>7020</v>
      </c>
      <c r="D83" s="56">
        <f t="shared" si="11"/>
        <v>1760</v>
      </c>
      <c r="E83" s="56">
        <f t="shared" si="12"/>
        <v>2900</v>
      </c>
      <c r="F83" s="175">
        <f t="shared" si="13"/>
        <v>24480</v>
      </c>
      <c r="G83" s="655">
        <f t="shared" si="14"/>
        <v>24844</v>
      </c>
      <c r="H83" s="656">
        <f t="shared" si="15"/>
        <v>-364</v>
      </c>
    </row>
    <row r="84" spans="1:8" x14ac:dyDescent="0.25">
      <c r="A84" s="54">
        <f t="shared" si="16"/>
        <v>160</v>
      </c>
      <c r="B84" s="55">
        <f t="shared" si="9"/>
        <v>13000</v>
      </c>
      <c r="C84" s="56">
        <f t="shared" si="10"/>
        <v>7150</v>
      </c>
      <c r="D84" s="56">
        <f t="shared" si="11"/>
        <v>1800</v>
      </c>
      <c r="E84" s="56">
        <f t="shared" si="12"/>
        <v>3000</v>
      </c>
      <c r="F84" s="175">
        <f t="shared" si="13"/>
        <v>24950</v>
      </c>
      <c r="G84" s="655">
        <f t="shared" si="14"/>
        <v>25480</v>
      </c>
      <c r="H84" s="656">
        <f t="shared" si="15"/>
        <v>-530</v>
      </c>
    </row>
    <row r="85" spans="1:8" x14ac:dyDescent="0.25">
      <c r="A85" s="54">
        <f t="shared" si="16"/>
        <v>162</v>
      </c>
      <c r="B85" s="55">
        <f t="shared" si="9"/>
        <v>13200</v>
      </c>
      <c r="C85" s="56">
        <f t="shared" si="10"/>
        <v>7280</v>
      </c>
      <c r="D85" s="56">
        <f t="shared" si="11"/>
        <v>1840</v>
      </c>
      <c r="E85" s="56">
        <f t="shared" si="12"/>
        <v>3100</v>
      </c>
      <c r="F85" s="175">
        <f t="shared" si="13"/>
        <v>25420</v>
      </c>
      <c r="G85" s="655">
        <f t="shared" si="14"/>
        <v>26124</v>
      </c>
      <c r="H85" s="656">
        <f t="shared" si="15"/>
        <v>-704</v>
      </c>
    </row>
    <row r="86" spans="1:8" x14ac:dyDescent="0.25">
      <c r="A86" s="54">
        <f t="shared" si="16"/>
        <v>164</v>
      </c>
      <c r="B86" s="55">
        <f t="shared" si="9"/>
        <v>13400</v>
      </c>
      <c r="C86" s="56">
        <f t="shared" si="10"/>
        <v>7410</v>
      </c>
      <c r="D86" s="56">
        <f t="shared" si="11"/>
        <v>1880</v>
      </c>
      <c r="E86" s="56">
        <f t="shared" si="12"/>
        <v>3200</v>
      </c>
      <c r="F86" s="175">
        <f t="shared" si="13"/>
        <v>25890</v>
      </c>
      <c r="G86" s="655">
        <f t="shared" si="14"/>
        <v>26776</v>
      </c>
      <c r="H86" s="656">
        <f t="shared" si="15"/>
        <v>-886</v>
      </c>
    </row>
    <row r="87" spans="1:8" x14ac:dyDescent="0.25">
      <c r="A87" s="54">
        <f t="shared" si="16"/>
        <v>166</v>
      </c>
      <c r="B87" s="55">
        <f t="shared" si="9"/>
        <v>13600</v>
      </c>
      <c r="C87" s="56">
        <f t="shared" si="10"/>
        <v>7540</v>
      </c>
      <c r="D87" s="56">
        <f t="shared" si="11"/>
        <v>1920</v>
      </c>
      <c r="E87" s="56">
        <f t="shared" si="12"/>
        <v>3300</v>
      </c>
      <c r="F87" s="175">
        <f t="shared" si="13"/>
        <v>26360</v>
      </c>
      <c r="G87" s="655">
        <f t="shared" si="14"/>
        <v>27436</v>
      </c>
      <c r="H87" s="656">
        <f t="shared" si="15"/>
        <v>-1076</v>
      </c>
    </row>
    <row r="88" spans="1:8" x14ac:dyDescent="0.25">
      <c r="A88" s="54">
        <f t="shared" si="16"/>
        <v>168</v>
      </c>
      <c r="B88" s="55">
        <f t="shared" si="9"/>
        <v>13800</v>
      </c>
      <c r="C88" s="56">
        <f t="shared" si="10"/>
        <v>7670</v>
      </c>
      <c r="D88" s="56">
        <f t="shared" si="11"/>
        <v>1960</v>
      </c>
      <c r="E88" s="56">
        <f t="shared" si="12"/>
        <v>3400</v>
      </c>
      <c r="F88" s="175">
        <f t="shared" si="13"/>
        <v>26830</v>
      </c>
      <c r="G88" s="655">
        <f t="shared" si="14"/>
        <v>28104</v>
      </c>
      <c r="H88" s="656">
        <f t="shared" si="15"/>
        <v>-1274</v>
      </c>
    </row>
    <row r="89" spans="1:8" x14ac:dyDescent="0.25">
      <c r="A89" s="54">
        <f t="shared" si="16"/>
        <v>170</v>
      </c>
      <c r="B89" s="55">
        <f t="shared" si="9"/>
        <v>14000</v>
      </c>
      <c r="C89" s="56">
        <f t="shared" si="10"/>
        <v>7800</v>
      </c>
      <c r="D89" s="56">
        <f t="shared" si="11"/>
        <v>2000</v>
      </c>
      <c r="E89" s="56">
        <f t="shared" si="12"/>
        <v>3500</v>
      </c>
      <c r="F89" s="175">
        <f t="shared" si="13"/>
        <v>27300</v>
      </c>
      <c r="G89" s="655">
        <f t="shared" si="14"/>
        <v>28780</v>
      </c>
      <c r="H89" s="656">
        <f t="shared" si="15"/>
        <v>-1480</v>
      </c>
    </row>
    <row r="90" spans="1:8" x14ac:dyDescent="0.25">
      <c r="A90" s="54">
        <f t="shared" si="16"/>
        <v>172</v>
      </c>
      <c r="B90" s="55">
        <f t="shared" si="9"/>
        <v>14200</v>
      </c>
      <c r="C90" s="56">
        <f t="shared" si="10"/>
        <v>7930</v>
      </c>
      <c r="D90" s="56">
        <f t="shared" si="11"/>
        <v>2040</v>
      </c>
      <c r="E90" s="56">
        <f t="shared" si="12"/>
        <v>3600</v>
      </c>
      <c r="F90" s="175">
        <f t="shared" si="13"/>
        <v>27770</v>
      </c>
      <c r="G90" s="655">
        <f t="shared" si="14"/>
        <v>29464</v>
      </c>
      <c r="H90" s="656">
        <f t="shared" si="15"/>
        <v>-1694</v>
      </c>
    </row>
    <row r="91" spans="1:8" x14ac:dyDescent="0.25">
      <c r="A91" s="54">
        <f t="shared" si="16"/>
        <v>174</v>
      </c>
      <c r="B91" s="55">
        <f t="shared" si="9"/>
        <v>14400</v>
      </c>
      <c r="C91" s="56">
        <f t="shared" si="10"/>
        <v>8060</v>
      </c>
      <c r="D91" s="56">
        <f t="shared" si="11"/>
        <v>2080</v>
      </c>
      <c r="E91" s="56">
        <f t="shared" si="12"/>
        <v>3700</v>
      </c>
      <c r="F91" s="175">
        <f t="shared" si="13"/>
        <v>28240</v>
      </c>
      <c r="G91" s="655">
        <f t="shared" si="14"/>
        <v>30156</v>
      </c>
      <c r="H91" s="656">
        <f t="shared" si="15"/>
        <v>-1916</v>
      </c>
    </row>
    <row r="92" spans="1:8" x14ac:dyDescent="0.25">
      <c r="A92" s="54">
        <f t="shared" si="16"/>
        <v>176</v>
      </c>
      <c r="B92" s="55">
        <f t="shared" si="9"/>
        <v>14600</v>
      </c>
      <c r="C92" s="56">
        <f t="shared" si="10"/>
        <v>8190</v>
      </c>
      <c r="D92" s="56">
        <f t="shared" si="11"/>
        <v>2120</v>
      </c>
      <c r="E92" s="56">
        <f t="shared" si="12"/>
        <v>3800</v>
      </c>
      <c r="F92" s="175">
        <f t="shared" si="13"/>
        <v>28710</v>
      </c>
      <c r="G92" s="655">
        <f t="shared" si="14"/>
        <v>30856</v>
      </c>
      <c r="H92" s="656">
        <f t="shared" si="15"/>
        <v>-2146</v>
      </c>
    </row>
    <row r="93" spans="1:8" x14ac:dyDescent="0.25">
      <c r="A93" s="54">
        <f t="shared" si="16"/>
        <v>178</v>
      </c>
      <c r="B93" s="55">
        <f t="shared" si="9"/>
        <v>14800</v>
      </c>
      <c r="C93" s="56">
        <f t="shared" si="10"/>
        <v>8320</v>
      </c>
      <c r="D93" s="56">
        <f t="shared" si="11"/>
        <v>2160</v>
      </c>
      <c r="E93" s="56">
        <f t="shared" si="12"/>
        <v>3900</v>
      </c>
      <c r="F93" s="175">
        <f t="shared" si="13"/>
        <v>29180</v>
      </c>
      <c r="G93" s="655">
        <f t="shared" si="14"/>
        <v>31564</v>
      </c>
      <c r="H93" s="656">
        <f t="shared" si="15"/>
        <v>-2384</v>
      </c>
    </row>
    <row r="94" spans="1:8" x14ac:dyDescent="0.25">
      <c r="A94" s="54">
        <f t="shared" si="16"/>
        <v>180</v>
      </c>
      <c r="B94" s="55">
        <f t="shared" si="9"/>
        <v>15000</v>
      </c>
      <c r="C94" s="56">
        <f t="shared" si="10"/>
        <v>8450</v>
      </c>
      <c r="D94" s="56">
        <f t="shared" si="11"/>
        <v>2200</v>
      </c>
      <c r="E94" s="56">
        <f t="shared" si="12"/>
        <v>4000</v>
      </c>
      <c r="F94" s="175">
        <f t="shared" si="13"/>
        <v>29650</v>
      </c>
      <c r="G94" s="655">
        <f t="shared" si="14"/>
        <v>32280</v>
      </c>
      <c r="H94" s="656">
        <f t="shared" si="15"/>
        <v>-2630</v>
      </c>
    </row>
    <row r="95" spans="1:8" x14ac:dyDescent="0.25">
      <c r="A95" s="54">
        <f t="shared" si="16"/>
        <v>182</v>
      </c>
      <c r="B95" s="55">
        <f t="shared" si="9"/>
        <v>15200</v>
      </c>
      <c r="C95" s="56">
        <f t="shared" si="10"/>
        <v>8580</v>
      </c>
      <c r="D95" s="56">
        <f t="shared" si="11"/>
        <v>2240</v>
      </c>
      <c r="E95" s="56">
        <f t="shared" si="12"/>
        <v>4100</v>
      </c>
      <c r="F95" s="175">
        <f t="shared" si="13"/>
        <v>30120</v>
      </c>
      <c r="G95" s="655">
        <f t="shared" si="14"/>
        <v>33004</v>
      </c>
      <c r="H95" s="656">
        <f t="shared" si="15"/>
        <v>-2884</v>
      </c>
    </row>
    <row r="96" spans="1:8" x14ac:dyDescent="0.25">
      <c r="A96" s="54">
        <f t="shared" si="16"/>
        <v>184</v>
      </c>
      <c r="B96" s="55">
        <f t="shared" si="9"/>
        <v>15400</v>
      </c>
      <c r="C96" s="56">
        <f t="shared" si="10"/>
        <v>8710</v>
      </c>
      <c r="D96" s="56">
        <f t="shared" si="11"/>
        <v>2280</v>
      </c>
      <c r="E96" s="56">
        <f t="shared" si="12"/>
        <v>4200</v>
      </c>
      <c r="F96" s="175">
        <f t="shared" si="13"/>
        <v>30590</v>
      </c>
      <c r="G96" s="655">
        <f t="shared" si="14"/>
        <v>33736</v>
      </c>
      <c r="H96" s="656">
        <f t="shared" si="15"/>
        <v>-3146</v>
      </c>
    </row>
    <row r="97" spans="1:8" x14ac:dyDescent="0.25">
      <c r="A97" s="54">
        <f t="shared" si="16"/>
        <v>186</v>
      </c>
      <c r="B97" s="55">
        <f t="shared" si="9"/>
        <v>15600</v>
      </c>
      <c r="C97" s="56">
        <f t="shared" si="10"/>
        <v>8840</v>
      </c>
      <c r="D97" s="56">
        <f t="shared" si="11"/>
        <v>2320</v>
      </c>
      <c r="E97" s="56">
        <f t="shared" si="12"/>
        <v>4300</v>
      </c>
      <c r="F97" s="175">
        <f t="shared" si="13"/>
        <v>31060</v>
      </c>
      <c r="G97" s="655">
        <f t="shared" si="14"/>
        <v>34476</v>
      </c>
      <c r="H97" s="656">
        <f t="shared" si="15"/>
        <v>-3416</v>
      </c>
    </row>
    <row r="98" spans="1:8" x14ac:dyDescent="0.25">
      <c r="A98" s="54">
        <f t="shared" si="16"/>
        <v>188</v>
      </c>
      <c r="B98" s="55">
        <f t="shared" si="9"/>
        <v>15800</v>
      </c>
      <c r="C98" s="56">
        <f t="shared" si="10"/>
        <v>8970</v>
      </c>
      <c r="D98" s="56">
        <f t="shared" si="11"/>
        <v>2360</v>
      </c>
      <c r="E98" s="56">
        <f t="shared" si="12"/>
        <v>4400</v>
      </c>
      <c r="F98" s="175">
        <f t="shared" si="13"/>
        <v>31530</v>
      </c>
      <c r="G98" s="655">
        <f t="shared" si="14"/>
        <v>35224</v>
      </c>
      <c r="H98" s="656">
        <f t="shared" si="15"/>
        <v>-3694</v>
      </c>
    </row>
    <row r="99" spans="1:8" x14ac:dyDescent="0.25">
      <c r="A99" s="54">
        <f t="shared" si="16"/>
        <v>190</v>
      </c>
      <c r="B99" s="55">
        <f t="shared" si="9"/>
        <v>16000</v>
      </c>
      <c r="C99" s="56">
        <f t="shared" si="10"/>
        <v>9100</v>
      </c>
      <c r="D99" s="56">
        <f t="shared" si="11"/>
        <v>2400</v>
      </c>
      <c r="E99" s="56">
        <f t="shared" si="12"/>
        <v>4500</v>
      </c>
      <c r="F99" s="175">
        <f t="shared" si="13"/>
        <v>32000</v>
      </c>
      <c r="G99" s="655">
        <f t="shared" si="14"/>
        <v>35980</v>
      </c>
      <c r="H99" s="656">
        <f t="shared" si="15"/>
        <v>-3980</v>
      </c>
    </row>
    <row r="100" spans="1:8" x14ac:dyDescent="0.25">
      <c r="A100" s="54">
        <f t="shared" si="16"/>
        <v>192</v>
      </c>
      <c r="B100" s="55">
        <f t="shared" si="9"/>
        <v>16200</v>
      </c>
      <c r="C100" s="56">
        <f t="shared" si="10"/>
        <v>9230</v>
      </c>
      <c r="D100" s="56">
        <f t="shared" si="11"/>
        <v>2440</v>
      </c>
      <c r="E100" s="56">
        <f t="shared" si="12"/>
        <v>4600</v>
      </c>
      <c r="F100" s="175">
        <f t="shared" si="13"/>
        <v>32470</v>
      </c>
      <c r="G100" s="655">
        <f t="shared" si="14"/>
        <v>36744</v>
      </c>
      <c r="H100" s="656">
        <f t="shared" si="15"/>
        <v>-4274</v>
      </c>
    </row>
    <row r="101" spans="1:8" x14ac:dyDescent="0.25">
      <c r="A101" s="54">
        <f t="shared" si="16"/>
        <v>194</v>
      </c>
      <c r="B101" s="55">
        <f t="shared" si="9"/>
        <v>16400</v>
      </c>
      <c r="C101" s="56">
        <f t="shared" si="10"/>
        <v>9360</v>
      </c>
      <c r="D101" s="56">
        <f t="shared" si="11"/>
        <v>2480</v>
      </c>
      <c r="E101" s="56">
        <f t="shared" si="12"/>
        <v>4700</v>
      </c>
      <c r="F101" s="175">
        <f t="shared" si="13"/>
        <v>32940</v>
      </c>
      <c r="G101" s="655">
        <f t="shared" si="14"/>
        <v>37516</v>
      </c>
      <c r="H101" s="656">
        <f t="shared" si="15"/>
        <v>-4576</v>
      </c>
    </row>
    <row r="102" spans="1:8" x14ac:dyDescent="0.25">
      <c r="A102" s="54">
        <f t="shared" si="16"/>
        <v>196</v>
      </c>
      <c r="B102" s="55">
        <f t="shared" si="9"/>
        <v>16600</v>
      </c>
      <c r="C102" s="56">
        <f t="shared" si="10"/>
        <v>9490</v>
      </c>
      <c r="D102" s="56">
        <f t="shared" si="11"/>
        <v>2520</v>
      </c>
      <c r="E102" s="56">
        <f t="shared" si="12"/>
        <v>4800</v>
      </c>
      <c r="F102" s="175">
        <f t="shared" si="13"/>
        <v>33410</v>
      </c>
      <c r="G102" s="655">
        <f t="shared" si="14"/>
        <v>38296</v>
      </c>
      <c r="H102" s="656">
        <f t="shared" si="15"/>
        <v>-4886</v>
      </c>
    </row>
    <row r="103" spans="1:8" x14ac:dyDescent="0.25">
      <c r="A103" s="54">
        <f t="shared" si="16"/>
        <v>198</v>
      </c>
      <c r="B103" s="55">
        <f t="shared" si="9"/>
        <v>16800</v>
      </c>
      <c r="C103" s="56">
        <f t="shared" si="10"/>
        <v>9620</v>
      </c>
      <c r="D103" s="56">
        <f t="shared" si="11"/>
        <v>2560</v>
      </c>
      <c r="E103" s="56">
        <f t="shared" si="12"/>
        <v>4900</v>
      </c>
      <c r="F103" s="175">
        <f t="shared" si="13"/>
        <v>33880</v>
      </c>
      <c r="G103" s="655">
        <f t="shared" si="14"/>
        <v>39084</v>
      </c>
      <c r="H103" s="656">
        <f t="shared" si="15"/>
        <v>-5204</v>
      </c>
    </row>
    <row r="104" spans="1:8" x14ac:dyDescent="0.25">
      <c r="A104" s="64">
        <f t="shared" si="16"/>
        <v>200</v>
      </c>
      <c r="B104" s="65">
        <f t="shared" si="9"/>
        <v>17000</v>
      </c>
      <c r="C104" s="58">
        <f t="shared" si="10"/>
        <v>9750</v>
      </c>
      <c r="D104" s="58">
        <f t="shared" si="11"/>
        <v>2600</v>
      </c>
      <c r="E104" s="58">
        <f t="shared" si="12"/>
        <v>5000</v>
      </c>
      <c r="F104" s="176">
        <f t="shared" si="13"/>
        <v>34350</v>
      </c>
      <c r="G104" s="655">
        <f t="shared" si="14"/>
        <v>39880</v>
      </c>
      <c r="H104" s="656">
        <f t="shared" si="15"/>
        <v>-5530</v>
      </c>
    </row>
    <row r="105" spans="1:8" x14ac:dyDescent="0.25">
      <c r="A105" s="54"/>
    </row>
    <row r="106" spans="1:8" x14ac:dyDescent="0.25">
      <c r="A106" s="54"/>
    </row>
    <row r="107" spans="1:8" x14ac:dyDescent="0.25">
      <c r="A107" s="54"/>
    </row>
    <row r="108" spans="1:8" x14ac:dyDescent="0.25">
      <c r="A108" s="54"/>
    </row>
    <row r="109" spans="1:8" x14ac:dyDescent="0.25">
      <c r="A109" s="54"/>
    </row>
    <row r="110" spans="1:8" x14ac:dyDescent="0.25">
      <c r="A110" s="54"/>
    </row>
    <row r="111" spans="1:8" x14ac:dyDescent="0.25">
      <c r="A111" s="54"/>
    </row>
    <row r="112" spans="1:8"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9">
    <mergeCell ref="I16:J16"/>
    <mergeCell ref="I17:J17"/>
    <mergeCell ref="I18:J18"/>
    <mergeCell ref="G1:G3"/>
    <mergeCell ref="H1:H3"/>
    <mergeCell ref="I2:I10"/>
    <mergeCell ref="K9:N9"/>
    <mergeCell ref="K10:N10"/>
    <mergeCell ref="A1:A2"/>
    <mergeCell ref="B1:B2"/>
    <mergeCell ref="C1:C2"/>
    <mergeCell ref="D1:D2"/>
    <mergeCell ref="E1:E2"/>
    <mergeCell ref="F1:F3"/>
    <mergeCell ref="K2:N2"/>
    <mergeCell ref="B3:E3"/>
    <mergeCell ref="K6:N6"/>
    <mergeCell ref="K7:N7"/>
    <mergeCell ref="K8:N8"/>
  </mergeCells>
  <pageMargins left="0.75" right="0.75" top="1" bottom="1" header="0.5" footer="0.5"/>
  <pageSetup orientation="portrait" r:id="rId1"/>
  <headerFooter alignWithMargins="0"/>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6636-51E0-4218-9627-1C685C126410}">
  <dimension ref="A1:N132"/>
  <sheetViews>
    <sheetView topLeftCell="C1" zoomScale="110" zoomScaleNormal="110" workbookViewId="0">
      <selection activeCell="L16" sqref="L16"/>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1" width="12.77734375" style="42" bestFit="1" customWidth="1"/>
    <col min="12" max="12" width="14.44140625" style="42" bestFit="1" customWidth="1"/>
    <col min="13" max="16384" width="9.21875" style="42"/>
  </cols>
  <sheetData>
    <row r="1" spans="1:14" ht="25.05" customHeight="1" x14ac:dyDescent="0.25">
      <c r="A1" s="714" t="s">
        <v>89</v>
      </c>
      <c r="B1" s="724" t="str">
        <f>K3</f>
        <v>C</v>
      </c>
      <c r="C1" s="724" t="str">
        <f>L3</f>
        <v>C</v>
      </c>
      <c r="D1" s="724" t="str">
        <f t="shared" ref="D1:E1" si="0">M3</f>
        <v>C</v>
      </c>
      <c r="E1" s="724" t="str">
        <f t="shared" si="0"/>
        <v>C</v>
      </c>
      <c r="F1" s="723" t="s">
        <v>90</v>
      </c>
      <c r="G1" s="780" t="s">
        <v>706</v>
      </c>
      <c r="H1" s="714" t="s">
        <v>707</v>
      </c>
      <c r="K1" s="43" t="s">
        <v>216</v>
      </c>
      <c r="L1" s="43" t="s">
        <v>91</v>
      </c>
      <c r="M1" s="43" t="s">
        <v>92</v>
      </c>
      <c r="N1" s="43" t="s">
        <v>93</v>
      </c>
    </row>
    <row r="2" spans="1:14" x14ac:dyDescent="0.25">
      <c r="A2" s="716"/>
      <c r="B2" s="725"/>
      <c r="C2" s="725"/>
      <c r="D2" s="725"/>
      <c r="E2" s="725"/>
      <c r="F2" s="723"/>
      <c r="G2" s="781"/>
      <c r="H2" s="715"/>
      <c r="I2" s="783" t="s">
        <v>94</v>
      </c>
      <c r="J2" s="45" t="s">
        <v>95</v>
      </c>
      <c r="K2" s="702">
        <v>100</v>
      </c>
      <c r="L2" s="702"/>
      <c r="M2" s="702"/>
      <c r="N2" s="702"/>
    </row>
    <row r="3" spans="1:14" x14ac:dyDescent="0.25">
      <c r="A3" s="47" t="s">
        <v>96</v>
      </c>
      <c r="B3" s="757" t="s">
        <v>193</v>
      </c>
      <c r="C3" s="717"/>
      <c r="D3" s="717"/>
      <c r="E3" s="718"/>
      <c r="F3" s="714"/>
      <c r="G3" s="782"/>
      <c r="H3" s="716"/>
      <c r="I3" s="784"/>
      <c r="J3" s="50" t="s">
        <v>97</v>
      </c>
      <c r="K3" s="46" t="s">
        <v>99</v>
      </c>
      <c r="L3" s="46" t="s">
        <v>99</v>
      </c>
      <c r="M3" s="46" t="s">
        <v>99</v>
      </c>
      <c r="N3" s="46" t="s">
        <v>99</v>
      </c>
    </row>
    <row r="4" spans="1:14" x14ac:dyDescent="0.25">
      <c r="A4" s="51">
        <v>50</v>
      </c>
      <c r="B4" s="52">
        <f>(MAX(IF($B$1="C",1,-1)*(A4-$K$5),0)-IF($K$10="Y",$K$13*EXP($K$6*$K$9),0))*$K$4</f>
        <v>6381491.5821504025</v>
      </c>
      <c r="C4" s="45">
        <f>(MAX(IF($C$1="C",1,-1)*(A4-$L$5),0)-IF($K$10="Y",$L$13*EXP($K$6*$K$9),0))*$L$4</f>
        <v>-6381487.7282387717</v>
      </c>
      <c r="D4" s="45">
        <f>(MAX(IF($D$1="C",1,-1)*(A4-$M$5),0)-IF($K$10="Y",$M$13*EXP($K$6*$K$9),0))*$M$4</f>
        <v>-3.8539044782222689</v>
      </c>
      <c r="E4" s="45">
        <f>(MAX(IF($E$1="C",1,-1)*(A4-$N$5),0)-IF($K$10="Y",$N$13*EXP($K$6*$K$9),0))*$N$4</f>
        <v>0</v>
      </c>
      <c r="F4" s="174">
        <f>SUM(B4:E4)</f>
        <v>7.152587038206093E-6</v>
      </c>
      <c r="G4" s="655">
        <f t="shared" ref="G4:G67" si="1">IF(A4&lt;$K$16,0,A4-$K$16-$K$17)</f>
        <v>0</v>
      </c>
      <c r="H4" s="656">
        <f>F4-G4</f>
        <v>7.152587038206093E-6</v>
      </c>
      <c r="I4" s="715"/>
      <c r="J4" s="50" t="s">
        <v>100</v>
      </c>
      <c r="K4" s="46">
        <f>-(L16/(L5-K5))</f>
        <v>-1655849.9994744104</v>
      </c>
      <c r="L4" s="46">
        <f>(L16/(L5-K5))</f>
        <v>1655849.9994744104</v>
      </c>
      <c r="M4" s="46">
        <v>1</v>
      </c>
      <c r="N4" s="46">
        <v>0</v>
      </c>
    </row>
    <row r="5" spans="1:14" x14ac:dyDescent="0.25">
      <c r="A5" s="54">
        <f>A4+1</f>
        <v>51</v>
      </c>
      <c r="B5" s="55">
        <f t="shared" ref="B5:B68" si="2">(MAX(IF($B$1="C",1,-1)*(A5-$K$5),0)-IF($K$10="Y",$K$13*EXP($K$6*$K$9),0))*$K$4</f>
        <v>6381491.5821504025</v>
      </c>
      <c r="C5" s="56">
        <f t="shared" ref="C5:C68" si="3">(MAX(IF($C$1="C",1,-1)*(A5-$L$5),0)-IF($K$10="Y",$L$13*EXP($K$6*$K$9),0))*$L$4</f>
        <v>-6381487.7282387717</v>
      </c>
      <c r="D5" s="56">
        <f t="shared" ref="D5:D68" si="4">(MAX(IF($D$1="C",1,-1)*(A5-$M$5),0)-IF($K$10="Y",$M$13*EXP($K$6*$K$9),0))*$M$4</f>
        <v>-3.8539044782222689</v>
      </c>
      <c r="E5" s="56">
        <f t="shared" ref="E5:E68" si="5">(MAX(IF($E$1="C",1,-1)*(A5-$N$5),0)-IF($K$10="Y",$N$13*EXP($K$6*$K$9),0))*$N$4</f>
        <v>0</v>
      </c>
      <c r="F5" s="175">
        <f t="shared" ref="F5:F68" si="6">SUM(B5:E5)</f>
        <v>7.152587038206093E-6</v>
      </c>
      <c r="G5" s="655">
        <f t="shared" si="1"/>
        <v>0</v>
      </c>
      <c r="H5" s="656">
        <f t="shared" ref="H5:H68" si="7">F5-G5</f>
        <v>7.152587038206093E-6</v>
      </c>
      <c r="I5" s="715"/>
      <c r="J5" s="56" t="s">
        <v>101</v>
      </c>
      <c r="K5" s="46">
        <v>120</v>
      </c>
      <c r="L5" s="46">
        <v>120.00001</v>
      </c>
      <c r="M5" s="46">
        <f>L5</f>
        <v>120.00001</v>
      </c>
      <c r="N5" s="46">
        <v>120</v>
      </c>
    </row>
    <row r="6" spans="1:14" x14ac:dyDescent="0.25">
      <c r="A6" s="54">
        <f t="shared" ref="A6:A69" si="8">A5+1</f>
        <v>52</v>
      </c>
      <c r="B6" s="55">
        <f t="shared" si="2"/>
        <v>6381491.5821504025</v>
      </c>
      <c r="C6" s="56">
        <f t="shared" si="3"/>
        <v>-6381487.7282387717</v>
      </c>
      <c r="D6" s="56">
        <f t="shared" si="4"/>
        <v>-3.8539044782222689</v>
      </c>
      <c r="E6" s="56">
        <f t="shared" si="5"/>
        <v>0</v>
      </c>
      <c r="F6" s="175">
        <f t="shared" si="6"/>
        <v>7.152587038206093E-6</v>
      </c>
      <c r="G6" s="655">
        <f t="shared" si="1"/>
        <v>0</v>
      </c>
      <c r="H6" s="656">
        <f t="shared" si="7"/>
        <v>7.152587038206093E-6</v>
      </c>
      <c r="I6" s="715"/>
      <c r="J6" s="56" t="s">
        <v>102</v>
      </c>
      <c r="K6" s="758">
        <v>0.1</v>
      </c>
      <c r="L6" s="719"/>
      <c r="M6" s="719"/>
      <c r="N6" s="720"/>
    </row>
    <row r="7" spans="1:14" x14ac:dyDescent="0.25">
      <c r="A7" s="54">
        <f t="shared" si="8"/>
        <v>53</v>
      </c>
      <c r="B7" s="55">
        <f t="shared" si="2"/>
        <v>6381491.5821504025</v>
      </c>
      <c r="C7" s="56">
        <f t="shared" si="3"/>
        <v>-6381487.7282387717</v>
      </c>
      <c r="D7" s="56">
        <f t="shared" si="4"/>
        <v>-3.8539044782222689</v>
      </c>
      <c r="E7" s="56">
        <f t="shared" si="5"/>
        <v>0</v>
      </c>
      <c r="F7" s="175">
        <f t="shared" si="6"/>
        <v>7.152587038206093E-6</v>
      </c>
      <c r="G7" s="655">
        <f t="shared" si="1"/>
        <v>0</v>
      </c>
      <c r="H7" s="656">
        <f t="shared" si="7"/>
        <v>7.152587038206093E-6</v>
      </c>
      <c r="I7" s="715"/>
      <c r="J7" s="56" t="s">
        <v>103</v>
      </c>
      <c r="K7" s="758">
        <v>0</v>
      </c>
      <c r="L7" s="719"/>
      <c r="M7" s="719"/>
      <c r="N7" s="720"/>
    </row>
    <row r="8" spans="1:14" x14ac:dyDescent="0.25">
      <c r="A8" s="54">
        <f t="shared" si="8"/>
        <v>54</v>
      </c>
      <c r="B8" s="55">
        <f t="shared" si="2"/>
        <v>6381491.5821504025</v>
      </c>
      <c r="C8" s="56">
        <f t="shared" si="3"/>
        <v>-6381487.7282387717</v>
      </c>
      <c r="D8" s="56">
        <f t="shared" si="4"/>
        <v>-3.8539044782222689</v>
      </c>
      <c r="E8" s="56">
        <f t="shared" si="5"/>
        <v>0</v>
      </c>
      <c r="F8" s="175">
        <f t="shared" si="6"/>
        <v>7.152587038206093E-6</v>
      </c>
      <c r="G8" s="655">
        <f t="shared" si="1"/>
        <v>0</v>
      </c>
      <c r="H8" s="656">
        <f t="shared" si="7"/>
        <v>7.152587038206093E-6</v>
      </c>
      <c r="I8" s="715"/>
      <c r="J8" s="56" t="s">
        <v>104</v>
      </c>
      <c r="K8" s="758">
        <v>0.3</v>
      </c>
      <c r="L8" s="719"/>
      <c r="M8" s="719"/>
      <c r="N8" s="720"/>
    </row>
    <row r="9" spans="1:14" x14ac:dyDescent="0.25">
      <c r="A9" s="54">
        <f t="shared" si="8"/>
        <v>55</v>
      </c>
      <c r="B9" s="55">
        <f t="shared" si="2"/>
        <v>6381491.5821504025</v>
      </c>
      <c r="C9" s="56">
        <f t="shared" si="3"/>
        <v>-6381487.7282387717</v>
      </c>
      <c r="D9" s="56">
        <f t="shared" si="4"/>
        <v>-3.8539044782222689</v>
      </c>
      <c r="E9" s="56">
        <f t="shared" si="5"/>
        <v>0</v>
      </c>
      <c r="F9" s="175">
        <f t="shared" si="6"/>
        <v>7.152587038206093E-6</v>
      </c>
      <c r="G9" s="655">
        <f t="shared" si="1"/>
        <v>0</v>
      </c>
      <c r="H9" s="656">
        <f t="shared" si="7"/>
        <v>7.152587038206093E-6</v>
      </c>
      <c r="I9" s="715"/>
      <c r="J9" s="58" t="s">
        <v>105</v>
      </c>
      <c r="K9" s="729">
        <v>0.5</v>
      </c>
      <c r="L9" s="721"/>
      <c r="M9" s="721"/>
      <c r="N9" s="722"/>
    </row>
    <row r="10" spans="1:14" x14ac:dyDescent="0.25">
      <c r="A10" s="54">
        <f t="shared" si="8"/>
        <v>56</v>
      </c>
      <c r="B10" s="55">
        <f t="shared" si="2"/>
        <v>6381491.5821504025</v>
      </c>
      <c r="C10" s="56">
        <f t="shared" si="3"/>
        <v>-6381487.7282387717</v>
      </c>
      <c r="D10" s="56">
        <f t="shared" si="4"/>
        <v>-3.8539044782222689</v>
      </c>
      <c r="E10" s="56">
        <f t="shared" si="5"/>
        <v>0</v>
      </c>
      <c r="F10" s="175">
        <f t="shared" si="6"/>
        <v>7.152587038206093E-6</v>
      </c>
      <c r="G10" s="655">
        <f t="shared" si="1"/>
        <v>0</v>
      </c>
      <c r="H10" s="656">
        <f t="shared" si="7"/>
        <v>7.152587038206093E-6</v>
      </c>
      <c r="I10" s="716"/>
      <c r="J10" s="59" t="s">
        <v>106</v>
      </c>
      <c r="K10" s="729" t="s">
        <v>122</v>
      </c>
      <c r="L10" s="721"/>
      <c r="M10" s="721"/>
      <c r="N10" s="722"/>
    </row>
    <row r="11" spans="1:14" x14ac:dyDescent="0.25">
      <c r="A11" s="54">
        <f t="shared" si="8"/>
        <v>57</v>
      </c>
      <c r="B11" s="55">
        <f t="shared" si="2"/>
        <v>6381491.5821504025</v>
      </c>
      <c r="C11" s="56">
        <f t="shared" si="3"/>
        <v>-6381487.7282387717</v>
      </c>
      <c r="D11" s="56">
        <f t="shared" si="4"/>
        <v>-3.8539044782222689</v>
      </c>
      <c r="E11" s="56">
        <f t="shared" si="5"/>
        <v>0</v>
      </c>
      <c r="F11" s="175">
        <f t="shared" si="6"/>
        <v>7.152587038206093E-6</v>
      </c>
      <c r="G11" s="655">
        <f t="shared" si="1"/>
        <v>0</v>
      </c>
      <c r="H11" s="656">
        <f t="shared" si="7"/>
        <v>7.152587038206093E-6</v>
      </c>
      <c r="I11" s="41" t="s">
        <v>107</v>
      </c>
      <c r="J11" s="52" t="s">
        <v>108</v>
      </c>
      <c r="K11" s="47">
        <f>(LN($K$2/K5)+(($K$6-$K$7+(0.5*$K$8*$K$8))*$K$9))/($K$8*SQRT($K$9))</f>
        <v>-0.51770378352979229</v>
      </c>
      <c r="L11" s="47">
        <f>(LN($K$2/L5)+(($K$6-$K$7+(0.5*$K$8*$K$8))*$K$9))/($K$8*SQRT($K$9))</f>
        <v>-0.51770417636687704</v>
      </c>
      <c r="M11" s="47">
        <f>(LN($K$2/M5)+(($K$6-$K$7+(0.5*$K$8*$K$8))*$K$9))/($K$8*SQRT($K$9))</f>
        <v>-0.51770417636687704</v>
      </c>
      <c r="N11" s="47">
        <f>(LN($K$2/N5)+(($K$6-$K$7+(0.5*$K$8*$K$8))*$K$9))/($K$8*SQRT($K$9))</f>
        <v>-0.51770378352979229</v>
      </c>
    </row>
    <row r="12" spans="1:14" x14ac:dyDescent="0.25">
      <c r="A12" s="54">
        <f t="shared" si="8"/>
        <v>58</v>
      </c>
      <c r="B12" s="55">
        <f t="shared" si="2"/>
        <v>6381491.5821504025</v>
      </c>
      <c r="C12" s="56">
        <f t="shared" si="3"/>
        <v>-6381487.7282387717</v>
      </c>
      <c r="D12" s="56">
        <f t="shared" si="4"/>
        <v>-3.8539044782222689</v>
      </c>
      <c r="E12" s="56">
        <f t="shared" si="5"/>
        <v>0</v>
      </c>
      <c r="F12" s="175">
        <f t="shared" si="6"/>
        <v>7.152587038206093E-6</v>
      </c>
      <c r="G12" s="655">
        <f t="shared" si="1"/>
        <v>0</v>
      </c>
      <c r="H12" s="656">
        <f t="shared" si="7"/>
        <v>7.152587038206093E-6</v>
      </c>
      <c r="I12" s="49"/>
      <c r="J12" s="55" t="s">
        <v>109</v>
      </c>
      <c r="K12" s="60">
        <f>K11-($K$8*SQRT($K$9))</f>
        <v>-0.72983581788575658</v>
      </c>
      <c r="L12" s="60">
        <f>L11-($K$8*SQRT($K$9))</f>
        <v>-0.72983621072284133</v>
      </c>
      <c r="M12" s="60">
        <f>M11-($K$8*SQRT($K$9))</f>
        <v>-0.72983621072284133</v>
      </c>
      <c r="N12" s="60">
        <f>N11-($K$8*SQRT($K$9))</f>
        <v>-0.72983581788575658</v>
      </c>
    </row>
    <row r="13" spans="1:14" x14ac:dyDescent="0.25">
      <c r="A13" s="54">
        <f t="shared" si="8"/>
        <v>59</v>
      </c>
      <c r="B13" s="55">
        <f t="shared" si="2"/>
        <v>6381491.5821504025</v>
      </c>
      <c r="C13" s="56">
        <f t="shared" si="3"/>
        <v>-6381487.7282387717</v>
      </c>
      <c r="D13" s="56">
        <f t="shared" si="4"/>
        <v>-3.8539044782222689</v>
      </c>
      <c r="E13" s="56">
        <f t="shared" si="5"/>
        <v>0</v>
      </c>
      <c r="F13" s="175">
        <f t="shared" si="6"/>
        <v>7.152587038206093E-6</v>
      </c>
      <c r="G13" s="655">
        <f t="shared" si="1"/>
        <v>0</v>
      </c>
      <c r="H13" s="656">
        <f t="shared" si="7"/>
        <v>7.152587038206093E-6</v>
      </c>
      <c r="I13" s="44"/>
      <c r="J13" s="61" t="s">
        <v>110</v>
      </c>
      <c r="K13" s="62">
        <f>IF(K3="C",($K$2*EXP(-$K$7*$K$9)*NORMSDIST(K11))-(K5*EXP(-$K$6*$K$9)*NORMSDIST(K12)),(-$K$2*EXP(-$K$7*$K$9)*NORMSDIST(-K11))-(-K5*EXP(-$K$6*$K$9)*NORMSDIST(-K12)))</f>
        <v>3.6659495528410559</v>
      </c>
      <c r="L13" s="62">
        <f>IF(L3="C",($K$2*EXP(-$K$7*$K$9)*NORMSDIST(L11))-(L5*EXP(-$K$6*$K$9)*NORMSDIST(L12)),(-$K$2*EXP(-$K$7*$K$9)*NORMSDIST(-L11))-(-L5*EXP(-$K$6*$K$9)*NORMSDIST(-L12)))</f>
        <v>3.6659473389000929</v>
      </c>
      <c r="M13" s="62">
        <f>IF(M3="C",($K$2*EXP(-$K$7*$K$9)*NORMSDIST(M11))-(M5*EXP(-$K$6*$K$9)*NORMSDIST(M12)),(-$K$2*EXP(-$K$7*$K$9)*NORMSDIST(-M11))-(-M5*EXP(-$K$6*$K$9)*NORMSDIST(-M12)))</f>
        <v>3.6659473389000929</v>
      </c>
      <c r="N13" s="62">
        <f>IF(N3="C",($K$2*EXP(-$K$7*$K$9)*NORMSDIST(N11))-(N5*EXP(-$K$6*$K$9)*NORMSDIST(N12)),(-$K$2*EXP(-$K$7*$K$9)*NORMSDIST(-N11))-(-N5*EXP(-$K$6*$K$9)*NORMSDIST(-N12)))</f>
        <v>3.6659495528410559</v>
      </c>
    </row>
    <row r="14" spans="1:14" x14ac:dyDescent="0.25">
      <c r="A14" s="54">
        <f t="shared" si="8"/>
        <v>60</v>
      </c>
      <c r="B14" s="55">
        <f t="shared" si="2"/>
        <v>6381491.5821504025</v>
      </c>
      <c r="C14" s="56">
        <f t="shared" si="3"/>
        <v>-6381487.7282387717</v>
      </c>
      <c r="D14" s="56">
        <f t="shared" si="4"/>
        <v>-3.8539044782222689</v>
      </c>
      <c r="E14" s="56">
        <f t="shared" si="5"/>
        <v>0</v>
      </c>
      <c r="F14" s="175">
        <f t="shared" si="6"/>
        <v>7.152587038206093E-6</v>
      </c>
      <c r="G14" s="655">
        <f t="shared" si="1"/>
        <v>0</v>
      </c>
      <c r="H14" s="656">
        <f t="shared" si="7"/>
        <v>7.152587038206093E-6</v>
      </c>
      <c r="J14" s="46" t="s">
        <v>751</v>
      </c>
      <c r="K14" s="97">
        <f>SUMPRODUCT(K4:N4,K13:N13)</f>
        <v>-6.8039088212401566E-6</v>
      </c>
    </row>
    <row r="15" spans="1:14" x14ac:dyDescent="0.25">
      <c r="A15" s="54">
        <f t="shared" si="8"/>
        <v>61</v>
      </c>
      <c r="B15" s="55">
        <f t="shared" si="2"/>
        <v>6381491.5821504025</v>
      </c>
      <c r="C15" s="56">
        <f t="shared" si="3"/>
        <v>-6381487.7282387717</v>
      </c>
      <c r="D15" s="56">
        <f t="shared" si="4"/>
        <v>-3.8539044782222689</v>
      </c>
      <c r="E15" s="56">
        <f t="shared" si="5"/>
        <v>0</v>
      </c>
      <c r="F15" s="175">
        <f t="shared" si="6"/>
        <v>7.152587038206093E-6</v>
      </c>
      <c r="G15" s="655">
        <f t="shared" si="1"/>
        <v>0</v>
      </c>
      <c r="H15" s="656">
        <f t="shared" si="7"/>
        <v>7.152587038206093E-6</v>
      </c>
      <c r="L15" s="47" t="s">
        <v>752</v>
      </c>
    </row>
    <row r="16" spans="1:14" x14ac:dyDescent="0.25">
      <c r="A16" s="54">
        <f t="shared" si="8"/>
        <v>62</v>
      </c>
      <c r="B16" s="55">
        <f t="shared" si="2"/>
        <v>6381491.5821504025</v>
      </c>
      <c r="C16" s="56">
        <f t="shared" si="3"/>
        <v>-6381487.7282387717</v>
      </c>
      <c r="D16" s="56">
        <f t="shared" si="4"/>
        <v>-3.8539044782222689</v>
      </c>
      <c r="E16" s="56">
        <f t="shared" si="5"/>
        <v>0</v>
      </c>
      <c r="F16" s="175">
        <f t="shared" si="6"/>
        <v>7.152587038206093E-6</v>
      </c>
      <c r="G16" s="655">
        <f t="shared" si="1"/>
        <v>0</v>
      </c>
      <c r="H16" s="656">
        <f t="shared" si="7"/>
        <v>7.152587038206093E-6</v>
      </c>
      <c r="I16" s="729" t="s">
        <v>715</v>
      </c>
      <c r="J16" s="721"/>
      <c r="K16" s="657">
        <v>120</v>
      </c>
      <c r="L16" s="46">
        <v>16.558499999999999</v>
      </c>
      <c r="M16" s="684"/>
    </row>
    <row r="17" spans="1:11" x14ac:dyDescent="0.25">
      <c r="A17" s="54">
        <f t="shared" si="8"/>
        <v>63</v>
      </c>
      <c r="B17" s="55">
        <f t="shared" si="2"/>
        <v>6381491.5821504025</v>
      </c>
      <c r="C17" s="56">
        <f t="shared" si="3"/>
        <v>-6381487.7282387717</v>
      </c>
      <c r="D17" s="56">
        <f t="shared" si="4"/>
        <v>-3.8539044782222689</v>
      </c>
      <c r="E17" s="56">
        <f t="shared" si="5"/>
        <v>0</v>
      </c>
      <c r="F17" s="175">
        <f t="shared" si="6"/>
        <v>7.152587038206093E-6</v>
      </c>
      <c r="G17" s="655">
        <f t="shared" si="1"/>
        <v>0</v>
      </c>
      <c r="H17" s="656">
        <f t="shared" si="7"/>
        <v>7.152587038206093E-6</v>
      </c>
      <c r="I17" s="729" t="s">
        <v>753</v>
      </c>
      <c r="J17" s="722"/>
      <c r="K17" s="658">
        <f>-MIN(F4:F104)*EXP(K6*K9)</f>
        <v>16.356204346659126</v>
      </c>
    </row>
    <row r="18" spans="1:11" x14ac:dyDescent="0.25">
      <c r="A18" s="54">
        <f t="shared" si="8"/>
        <v>64</v>
      </c>
      <c r="B18" s="55">
        <f t="shared" si="2"/>
        <v>6381491.5821504025</v>
      </c>
      <c r="C18" s="56">
        <f t="shared" si="3"/>
        <v>-6381487.7282387717</v>
      </c>
      <c r="D18" s="56">
        <f t="shared" si="4"/>
        <v>-3.8539044782222689</v>
      </c>
      <c r="E18" s="56">
        <f t="shared" si="5"/>
        <v>0</v>
      </c>
      <c r="F18" s="175">
        <f t="shared" si="6"/>
        <v>7.152587038206093E-6</v>
      </c>
      <c r="G18" s="655">
        <f t="shared" si="1"/>
        <v>0</v>
      </c>
      <c r="H18" s="656">
        <f t="shared" si="7"/>
        <v>7.152587038206093E-6</v>
      </c>
      <c r="I18" s="729" t="s">
        <v>718</v>
      </c>
      <c r="J18" s="722"/>
      <c r="K18" s="685">
        <f>K13/(NORMSDIST(K12)*EXP(-K6*K9))</f>
        <v>16.558475030331845</v>
      </c>
    </row>
    <row r="19" spans="1:11" x14ac:dyDescent="0.25">
      <c r="A19" s="54">
        <f t="shared" si="8"/>
        <v>65</v>
      </c>
      <c r="B19" s="55">
        <f t="shared" si="2"/>
        <v>6381491.5821504025</v>
      </c>
      <c r="C19" s="56">
        <f t="shared" si="3"/>
        <v>-6381487.7282387717</v>
      </c>
      <c r="D19" s="56">
        <f t="shared" si="4"/>
        <v>-3.8539044782222689</v>
      </c>
      <c r="E19" s="56">
        <f t="shared" si="5"/>
        <v>0</v>
      </c>
      <c r="F19" s="175">
        <f t="shared" si="6"/>
        <v>7.152587038206093E-6</v>
      </c>
      <c r="G19" s="655">
        <f t="shared" si="1"/>
        <v>0</v>
      </c>
      <c r="H19" s="656">
        <f t="shared" si="7"/>
        <v>7.152587038206093E-6</v>
      </c>
    </row>
    <row r="20" spans="1:11" x14ac:dyDescent="0.25">
      <c r="A20" s="54">
        <f t="shared" si="8"/>
        <v>66</v>
      </c>
      <c r="B20" s="55">
        <f t="shared" si="2"/>
        <v>6381491.5821504025</v>
      </c>
      <c r="C20" s="56">
        <f t="shared" si="3"/>
        <v>-6381487.7282387717</v>
      </c>
      <c r="D20" s="56">
        <f t="shared" si="4"/>
        <v>-3.8539044782222689</v>
      </c>
      <c r="E20" s="56">
        <f t="shared" si="5"/>
        <v>0</v>
      </c>
      <c r="F20" s="175">
        <f t="shared" si="6"/>
        <v>7.152587038206093E-6</v>
      </c>
      <c r="G20" s="655">
        <f t="shared" si="1"/>
        <v>0</v>
      </c>
      <c r="H20" s="656">
        <f t="shared" si="7"/>
        <v>7.152587038206093E-6</v>
      </c>
    </row>
    <row r="21" spans="1:11" x14ac:dyDescent="0.25">
      <c r="A21" s="54">
        <f t="shared" si="8"/>
        <v>67</v>
      </c>
      <c r="B21" s="55">
        <f t="shared" si="2"/>
        <v>6381491.5821504025</v>
      </c>
      <c r="C21" s="56">
        <f t="shared" si="3"/>
        <v>-6381487.7282387717</v>
      </c>
      <c r="D21" s="56">
        <f t="shared" si="4"/>
        <v>-3.8539044782222689</v>
      </c>
      <c r="E21" s="56">
        <f t="shared" si="5"/>
        <v>0</v>
      </c>
      <c r="F21" s="175">
        <f t="shared" si="6"/>
        <v>7.152587038206093E-6</v>
      </c>
      <c r="G21" s="655">
        <f t="shared" si="1"/>
        <v>0</v>
      </c>
      <c r="H21" s="656">
        <f t="shared" si="7"/>
        <v>7.152587038206093E-6</v>
      </c>
    </row>
    <row r="22" spans="1:11" x14ac:dyDescent="0.25">
      <c r="A22" s="54">
        <f t="shared" si="8"/>
        <v>68</v>
      </c>
      <c r="B22" s="55">
        <f t="shared" si="2"/>
        <v>6381491.5821504025</v>
      </c>
      <c r="C22" s="56">
        <f t="shared" si="3"/>
        <v>-6381487.7282387717</v>
      </c>
      <c r="D22" s="56">
        <f t="shared" si="4"/>
        <v>-3.8539044782222689</v>
      </c>
      <c r="E22" s="56">
        <f t="shared" si="5"/>
        <v>0</v>
      </c>
      <c r="F22" s="175">
        <f t="shared" si="6"/>
        <v>7.152587038206093E-6</v>
      </c>
      <c r="G22" s="655">
        <f t="shared" si="1"/>
        <v>0</v>
      </c>
      <c r="H22" s="656">
        <f t="shared" si="7"/>
        <v>7.152587038206093E-6</v>
      </c>
    </row>
    <row r="23" spans="1:11" x14ac:dyDescent="0.25">
      <c r="A23" s="54">
        <f t="shared" si="8"/>
        <v>69</v>
      </c>
      <c r="B23" s="55">
        <f t="shared" si="2"/>
        <v>6381491.5821504025</v>
      </c>
      <c r="C23" s="56">
        <f t="shared" si="3"/>
        <v>-6381487.7282387717</v>
      </c>
      <c r="D23" s="56">
        <f t="shared" si="4"/>
        <v>-3.8539044782222689</v>
      </c>
      <c r="E23" s="56">
        <f t="shared" si="5"/>
        <v>0</v>
      </c>
      <c r="F23" s="175">
        <f t="shared" si="6"/>
        <v>7.152587038206093E-6</v>
      </c>
      <c r="G23" s="655">
        <f t="shared" si="1"/>
        <v>0</v>
      </c>
      <c r="H23" s="656">
        <f t="shared" si="7"/>
        <v>7.152587038206093E-6</v>
      </c>
    </row>
    <row r="24" spans="1:11" x14ac:dyDescent="0.25">
      <c r="A24" s="54">
        <f t="shared" si="8"/>
        <v>70</v>
      </c>
      <c r="B24" s="55">
        <f t="shared" si="2"/>
        <v>6381491.5821504025</v>
      </c>
      <c r="C24" s="56">
        <f t="shared" si="3"/>
        <v>-6381487.7282387717</v>
      </c>
      <c r="D24" s="56">
        <f t="shared" si="4"/>
        <v>-3.8539044782222689</v>
      </c>
      <c r="E24" s="56">
        <f t="shared" si="5"/>
        <v>0</v>
      </c>
      <c r="F24" s="175">
        <f t="shared" si="6"/>
        <v>7.152587038206093E-6</v>
      </c>
      <c r="G24" s="655">
        <f t="shared" si="1"/>
        <v>0</v>
      </c>
      <c r="H24" s="656">
        <f t="shared" si="7"/>
        <v>7.152587038206093E-6</v>
      </c>
    </row>
    <row r="25" spans="1:11" x14ac:dyDescent="0.25">
      <c r="A25" s="54">
        <f t="shared" si="8"/>
        <v>71</v>
      </c>
      <c r="B25" s="55">
        <f t="shared" si="2"/>
        <v>6381491.5821504025</v>
      </c>
      <c r="C25" s="56">
        <f t="shared" si="3"/>
        <v>-6381487.7282387717</v>
      </c>
      <c r="D25" s="56">
        <f t="shared" si="4"/>
        <v>-3.8539044782222689</v>
      </c>
      <c r="E25" s="56">
        <f t="shared" si="5"/>
        <v>0</v>
      </c>
      <c r="F25" s="175">
        <f t="shared" si="6"/>
        <v>7.152587038206093E-6</v>
      </c>
      <c r="G25" s="655">
        <f t="shared" si="1"/>
        <v>0</v>
      </c>
      <c r="H25" s="656">
        <f t="shared" si="7"/>
        <v>7.152587038206093E-6</v>
      </c>
      <c r="I25" s="63"/>
    </row>
    <row r="26" spans="1:11" x14ac:dyDescent="0.25">
      <c r="A26" s="54">
        <f t="shared" si="8"/>
        <v>72</v>
      </c>
      <c r="B26" s="55">
        <f t="shared" si="2"/>
        <v>6381491.5821504025</v>
      </c>
      <c r="C26" s="56">
        <f t="shared" si="3"/>
        <v>-6381487.7282387717</v>
      </c>
      <c r="D26" s="56">
        <f t="shared" si="4"/>
        <v>-3.8539044782222689</v>
      </c>
      <c r="E26" s="56">
        <f t="shared" si="5"/>
        <v>0</v>
      </c>
      <c r="F26" s="175">
        <f t="shared" si="6"/>
        <v>7.152587038206093E-6</v>
      </c>
      <c r="G26" s="655">
        <f t="shared" si="1"/>
        <v>0</v>
      </c>
      <c r="H26" s="656">
        <f t="shared" si="7"/>
        <v>7.152587038206093E-6</v>
      </c>
    </row>
    <row r="27" spans="1:11" x14ac:dyDescent="0.25">
      <c r="A27" s="54">
        <f t="shared" si="8"/>
        <v>73</v>
      </c>
      <c r="B27" s="55">
        <f t="shared" si="2"/>
        <v>6381491.5821504025</v>
      </c>
      <c r="C27" s="56">
        <f t="shared" si="3"/>
        <v>-6381487.7282387717</v>
      </c>
      <c r="D27" s="56">
        <f t="shared" si="4"/>
        <v>-3.8539044782222689</v>
      </c>
      <c r="E27" s="56">
        <f t="shared" si="5"/>
        <v>0</v>
      </c>
      <c r="F27" s="175">
        <f t="shared" si="6"/>
        <v>7.152587038206093E-6</v>
      </c>
      <c r="G27" s="655">
        <f t="shared" si="1"/>
        <v>0</v>
      </c>
      <c r="H27" s="656">
        <f t="shared" si="7"/>
        <v>7.152587038206093E-6</v>
      </c>
    </row>
    <row r="28" spans="1:11" x14ac:dyDescent="0.25">
      <c r="A28" s="54">
        <f t="shared" si="8"/>
        <v>74</v>
      </c>
      <c r="B28" s="55">
        <f t="shared" si="2"/>
        <v>6381491.5821504025</v>
      </c>
      <c r="C28" s="56">
        <f t="shared" si="3"/>
        <v>-6381487.7282387717</v>
      </c>
      <c r="D28" s="56">
        <f t="shared" si="4"/>
        <v>-3.8539044782222689</v>
      </c>
      <c r="E28" s="56">
        <f t="shared" si="5"/>
        <v>0</v>
      </c>
      <c r="F28" s="175">
        <f t="shared" si="6"/>
        <v>7.152587038206093E-6</v>
      </c>
      <c r="G28" s="655">
        <f t="shared" si="1"/>
        <v>0</v>
      </c>
      <c r="H28" s="656">
        <f t="shared" si="7"/>
        <v>7.152587038206093E-6</v>
      </c>
    </row>
    <row r="29" spans="1:11" x14ac:dyDescent="0.25">
      <c r="A29" s="54">
        <f t="shared" si="8"/>
        <v>75</v>
      </c>
      <c r="B29" s="55">
        <f t="shared" si="2"/>
        <v>6381491.5821504025</v>
      </c>
      <c r="C29" s="56">
        <f t="shared" si="3"/>
        <v>-6381487.7282387717</v>
      </c>
      <c r="D29" s="56">
        <f t="shared" si="4"/>
        <v>-3.8539044782222689</v>
      </c>
      <c r="E29" s="56">
        <f t="shared" si="5"/>
        <v>0</v>
      </c>
      <c r="F29" s="175">
        <f t="shared" si="6"/>
        <v>7.152587038206093E-6</v>
      </c>
      <c r="G29" s="655">
        <f t="shared" si="1"/>
        <v>0</v>
      </c>
      <c r="H29" s="656">
        <f t="shared" si="7"/>
        <v>7.152587038206093E-6</v>
      </c>
    </row>
    <row r="30" spans="1:11" x14ac:dyDescent="0.25">
      <c r="A30" s="54">
        <f t="shared" si="8"/>
        <v>76</v>
      </c>
      <c r="B30" s="55">
        <f t="shared" si="2"/>
        <v>6381491.5821504025</v>
      </c>
      <c r="C30" s="56">
        <f t="shared" si="3"/>
        <v>-6381487.7282387717</v>
      </c>
      <c r="D30" s="56">
        <f t="shared" si="4"/>
        <v>-3.8539044782222689</v>
      </c>
      <c r="E30" s="56">
        <f t="shared" si="5"/>
        <v>0</v>
      </c>
      <c r="F30" s="175">
        <f t="shared" si="6"/>
        <v>7.152587038206093E-6</v>
      </c>
      <c r="G30" s="655">
        <f t="shared" si="1"/>
        <v>0</v>
      </c>
      <c r="H30" s="656">
        <f t="shared" si="7"/>
        <v>7.152587038206093E-6</v>
      </c>
    </row>
    <row r="31" spans="1:11" x14ac:dyDescent="0.25">
      <c r="A31" s="54">
        <f t="shared" si="8"/>
        <v>77</v>
      </c>
      <c r="B31" s="55">
        <f t="shared" si="2"/>
        <v>6381491.5821504025</v>
      </c>
      <c r="C31" s="56">
        <f t="shared" si="3"/>
        <v>-6381487.7282387717</v>
      </c>
      <c r="D31" s="56">
        <f t="shared" si="4"/>
        <v>-3.8539044782222689</v>
      </c>
      <c r="E31" s="56">
        <f t="shared" si="5"/>
        <v>0</v>
      </c>
      <c r="F31" s="175">
        <f t="shared" si="6"/>
        <v>7.152587038206093E-6</v>
      </c>
      <c r="G31" s="655">
        <f t="shared" si="1"/>
        <v>0</v>
      </c>
      <c r="H31" s="656">
        <f t="shared" si="7"/>
        <v>7.152587038206093E-6</v>
      </c>
    </row>
    <row r="32" spans="1:11" x14ac:dyDescent="0.25">
      <c r="A32" s="54">
        <f t="shared" si="8"/>
        <v>78</v>
      </c>
      <c r="B32" s="55">
        <f t="shared" si="2"/>
        <v>6381491.5821504025</v>
      </c>
      <c r="C32" s="56">
        <f t="shared" si="3"/>
        <v>-6381487.7282387717</v>
      </c>
      <c r="D32" s="56">
        <f t="shared" si="4"/>
        <v>-3.8539044782222689</v>
      </c>
      <c r="E32" s="56">
        <f t="shared" si="5"/>
        <v>0</v>
      </c>
      <c r="F32" s="175">
        <f t="shared" si="6"/>
        <v>7.152587038206093E-6</v>
      </c>
      <c r="G32" s="655">
        <f t="shared" si="1"/>
        <v>0</v>
      </c>
      <c r="H32" s="656">
        <f t="shared" si="7"/>
        <v>7.152587038206093E-6</v>
      </c>
    </row>
    <row r="33" spans="1:8" x14ac:dyDescent="0.25">
      <c r="A33" s="54">
        <f t="shared" si="8"/>
        <v>79</v>
      </c>
      <c r="B33" s="55">
        <f t="shared" si="2"/>
        <v>6381491.5821504025</v>
      </c>
      <c r="C33" s="56">
        <f t="shared" si="3"/>
        <v>-6381487.7282387717</v>
      </c>
      <c r="D33" s="56">
        <f t="shared" si="4"/>
        <v>-3.8539044782222689</v>
      </c>
      <c r="E33" s="56">
        <f t="shared" si="5"/>
        <v>0</v>
      </c>
      <c r="F33" s="175">
        <f t="shared" si="6"/>
        <v>7.152587038206093E-6</v>
      </c>
      <c r="G33" s="655">
        <f t="shared" si="1"/>
        <v>0</v>
      </c>
      <c r="H33" s="656">
        <f t="shared" si="7"/>
        <v>7.152587038206093E-6</v>
      </c>
    </row>
    <row r="34" spans="1:8" x14ac:dyDescent="0.25">
      <c r="A34" s="54">
        <f t="shared" si="8"/>
        <v>80</v>
      </c>
      <c r="B34" s="55">
        <f t="shared" si="2"/>
        <v>6381491.5821504025</v>
      </c>
      <c r="C34" s="56">
        <f t="shared" si="3"/>
        <v>-6381487.7282387717</v>
      </c>
      <c r="D34" s="56">
        <f t="shared" si="4"/>
        <v>-3.8539044782222689</v>
      </c>
      <c r="E34" s="56">
        <f t="shared" si="5"/>
        <v>0</v>
      </c>
      <c r="F34" s="175">
        <f t="shared" si="6"/>
        <v>7.152587038206093E-6</v>
      </c>
      <c r="G34" s="655">
        <f t="shared" si="1"/>
        <v>0</v>
      </c>
      <c r="H34" s="656">
        <f t="shared" si="7"/>
        <v>7.152587038206093E-6</v>
      </c>
    </row>
    <row r="35" spans="1:8" x14ac:dyDescent="0.25">
      <c r="A35" s="54">
        <f t="shared" si="8"/>
        <v>81</v>
      </c>
      <c r="B35" s="55">
        <f t="shared" si="2"/>
        <v>6381491.5821504025</v>
      </c>
      <c r="C35" s="56">
        <f t="shared" si="3"/>
        <v>-6381487.7282387717</v>
      </c>
      <c r="D35" s="56">
        <f t="shared" si="4"/>
        <v>-3.8539044782222689</v>
      </c>
      <c r="E35" s="56">
        <f t="shared" si="5"/>
        <v>0</v>
      </c>
      <c r="F35" s="175">
        <f t="shared" si="6"/>
        <v>7.152587038206093E-6</v>
      </c>
      <c r="G35" s="655">
        <f t="shared" si="1"/>
        <v>0</v>
      </c>
      <c r="H35" s="656">
        <f t="shared" si="7"/>
        <v>7.152587038206093E-6</v>
      </c>
    </row>
    <row r="36" spans="1:8" x14ac:dyDescent="0.25">
      <c r="A36" s="54">
        <f t="shared" si="8"/>
        <v>82</v>
      </c>
      <c r="B36" s="55">
        <f t="shared" si="2"/>
        <v>6381491.5821504025</v>
      </c>
      <c r="C36" s="56">
        <f t="shared" si="3"/>
        <v>-6381487.7282387717</v>
      </c>
      <c r="D36" s="56">
        <f t="shared" si="4"/>
        <v>-3.8539044782222689</v>
      </c>
      <c r="E36" s="56">
        <f t="shared" si="5"/>
        <v>0</v>
      </c>
      <c r="F36" s="175">
        <f t="shared" si="6"/>
        <v>7.152587038206093E-6</v>
      </c>
      <c r="G36" s="655">
        <f t="shared" si="1"/>
        <v>0</v>
      </c>
      <c r="H36" s="656">
        <f t="shared" si="7"/>
        <v>7.152587038206093E-6</v>
      </c>
    </row>
    <row r="37" spans="1:8" x14ac:dyDescent="0.25">
      <c r="A37" s="54">
        <f t="shared" si="8"/>
        <v>83</v>
      </c>
      <c r="B37" s="55">
        <f t="shared" si="2"/>
        <v>6381491.5821504025</v>
      </c>
      <c r="C37" s="56">
        <f t="shared" si="3"/>
        <v>-6381487.7282387717</v>
      </c>
      <c r="D37" s="56">
        <f t="shared" si="4"/>
        <v>-3.8539044782222689</v>
      </c>
      <c r="E37" s="56">
        <f t="shared" si="5"/>
        <v>0</v>
      </c>
      <c r="F37" s="175">
        <f t="shared" si="6"/>
        <v>7.152587038206093E-6</v>
      </c>
      <c r="G37" s="655">
        <f t="shared" si="1"/>
        <v>0</v>
      </c>
      <c r="H37" s="656">
        <f t="shared" si="7"/>
        <v>7.152587038206093E-6</v>
      </c>
    </row>
    <row r="38" spans="1:8" x14ac:dyDescent="0.25">
      <c r="A38" s="54">
        <f t="shared" si="8"/>
        <v>84</v>
      </c>
      <c r="B38" s="55">
        <f t="shared" si="2"/>
        <v>6381491.5821504025</v>
      </c>
      <c r="C38" s="56">
        <f t="shared" si="3"/>
        <v>-6381487.7282387717</v>
      </c>
      <c r="D38" s="56">
        <f t="shared" si="4"/>
        <v>-3.8539044782222689</v>
      </c>
      <c r="E38" s="56">
        <f t="shared" si="5"/>
        <v>0</v>
      </c>
      <c r="F38" s="175">
        <f t="shared" si="6"/>
        <v>7.152587038206093E-6</v>
      </c>
      <c r="G38" s="655">
        <f t="shared" si="1"/>
        <v>0</v>
      </c>
      <c r="H38" s="656">
        <f t="shared" si="7"/>
        <v>7.152587038206093E-6</v>
      </c>
    </row>
    <row r="39" spans="1:8" x14ac:dyDescent="0.25">
      <c r="A39" s="54">
        <f t="shared" si="8"/>
        <v>85</v>
      </c>
      <c r="B39" s="55">
        <f t="shared" si="2"/>
        <v>6381491.5821504025</v>
      </c>
      <c r="C39" s="56">
        <f t="shared" si="3"/>
        <v>-6381487.7282387717</v>
      </c>
      <c r="D39" s="56">
        <f t="shared" si="4"/>
        <v>-3.8539044782222689</v>
      </c>
      <c r="E39" s="56">
        <f t="shared" si="5"/>
        <v>0</v>
      </c>
      <c r="F39" s="175">
        <f t="shared" si="6"/>
        <v>7.152587038206093E-6</v>
      </c>
      <c r="G39" s="655">
        <f t="shared" si="1"/>
        <v>0</v>
      </c>
      <c r="H39" s="656">
        <f t="shared" si="7"/>
        <v>7.152587038206093E-6</v>
      </c>
    </row>
    <row r="40" spans="1:8" x14ac:dyDescent="0.25">
      <c r="A40" s="54">
        <f t="shared" si="8"/>
        <v>86</v>
      </c>
      <c r="B40" s="55">
        <f t="shared" si="2"/>
        <v>6381491.5821504025</v>
      </c>
      <c r="C40" s="56">
        <f t="shared" si="3"/>
        <v>-6381487.7282387717</v>
      </c>
      <c r="D40" s="56">
        <f t="shared" si="4"/>
        <v>-3.8539044782222689</v>
      </c>
      <c r="E40" s="56">
        <f t="shared" si="5"/>
        <v>0</v>
      </c>
      <c r="F40" s="175">
        <f t="shared" si="6"/>
        <v>7.152587038206093E-6</v>
      </c>
      <c r="G40" s="655">
        <f t="shared" si="1"/>
        <v>0</v>
      </c>
      <c r="H40" s="656">
        <f t="shared" si="7"/>
        <v>7.152587038206093E-6</v>
      </c>
    </row>
    <row r="41" spans="1:8" x14ac:dyDescent="0.25">
      <c r="A41" s="54">
        <f t="shared" si="8"/>
        <v>87</v>
      </c>
      <c r="B41" s="55">
        <f t="shared" si="2"/>
        <v>6381491.5821504025</v>
      </c>
      <c r="C41" s="56">
        <f t="shared" si="3"/>
        <v>-6381487.7282387717</v>
      </c>
      <c r="D41" s="56">
        <f t="shared" si="4"/>
        <v>-3.8539044782222689</v>
      </c>
      <c r="E41" s="56">
        <f t="shared" si="5"/>
        <v>0</v>
      </c>
      <c r="F41" s="175">
        <f t="shared" si="6"/>
        <v>7.152587038206093E-6</v>
      </c>
      <c r="G41" s="655">
        <f t="shared" si="1"/>
        <v>0</v>
      </c>
      <c r="H41" s="656">
        <f t="shared" si="7"/>
        <v>7.152587038206093E-6</v>
      </c>
    </row>
    <row r="42" spans="1:8" x14ac:dyDescent="0.25">
      <c r="A42" s="54">
        <f t="shared" si="8"/>
        <v>88</v>
      </c>
      <c r="B42" s="55">
        <f t="shared" si="2"/>
        <v>6381491.5821504025</v>
      </c>
      <c r="C42" s="56">
        <f t="shared" si="3"/>
        <v>-6381487.7282387717</v>
      </c>
      <c r="D42" s="56">
        <f t="shared" si="4"/>
        <v>-3.8539044782222689</v>
      </c>
      <c r="E42" s="56">
        <f t="shared" si="5"/>
        <v>0</v>
      </c>
      <c r="F42" s="175">
        <f t="shared" si="6"/>
        <v>7.152587038206093E-6</v>
      </c>
      <c r="G42" s="655">
        <f t="shared" si="1"/>
        <v>0</v>
      </c>
      <c r="H42" s="656">
        <f t="shared" si="7"/>
        <v>7.152587038206093E-6</v>
      </c>
    </row>
    <row r="43" spans="1:8" x14ac:dyDescent="0.25">
      <c r="A43" s="54">
        <f t="shared" si="8"/>
        <v>89</v>
      </c>
      <c r="B43" s="55">
        <f t="shared" si="2"/>
        <v>6381491.5821504025</v>
      </c>
      <c r="C43" s="56">
        <f t="shared" si="3"/>
        <v>-6381487.7282387717</v>
      </c>
      <c r="D43" s="56">
        <f t="shared" si="4"/>
        <v>-3.8539044782222689</v>
      </c>
      <c r="E43" s="56">
        <f t="shared" si="5"/>
        <v>0</v>
      </c>
      <c r="F43" s="175">
        <f t="shared" si="6"/>
        <v>7.152587038206093E-6</v>
      </c>
      <c r="G43" s="655">
        <f t="shared" si="1"/>
        <v>0</v>
      </c>
      <c r="H43" s="656">
        <f t="shared" si="7"/>
        <v>7.152587038206093E-6</v>
      </c>
    </row>
    <row r="44" spans="1:8" x14ac:dyDescent="0.25">
      <c r="A44" s="54">
        <f t="shared" si="8"/>
        <v>90</v>
      </c>
      <c r="B44" s="55">
        <f t="shared" si="2"/>
        <v>6381491.5821504025</v>
      </c>
      <c r="C44" s="56">
        <f t="shared" si="3"/>
        <v>-6381487.7282387717</v>
      </c>
      <c r="D44" s="56">
        <f t="shared" si="4"/>
        <v>-3.8539044782222689</v>
      </c>
      <c r="E44" s="56">
        <f t="shared" si="5"/>
        <v>0</v>
      </c>
      <c r="F44" s="175">
        <f t="shared" si="6"/>
        <v>7.152587038206093E-6</v>
      </c>
      <c r="G44" s="655">
        <f t="shared" si="1"/>
        <v>0</v>
      </c>
      <c r="H44" s="656">
        <f t="shared" si="7"/>
        <v>7.152587038206093E-6</v>
      </c>
    </row>
    <row r="45" spans="1:8" x14ac:dyDescent="0.25">
      <c r="A45" s="54">
        <f t="shared" si="8"/>
        <v>91</v>
      </c>
      <c r="B45" s="55">
        <f t="shared" si="2"/>
        <v>6381491.5821504025</v>
      </c>
      <c r="C45" s="56">
        <f t="shared" si="3"/>
        <v>-6381487.7282387717</v>
      </c>
      <c r="D45" s="56">
        <f t="shared" si="4"/>
        <v>-3.8539044782222689</v>
      </c>
      <c r="E45" s="56">
        <f t="shared" si="5"/>
        <v>0</v>
      </c>
      <c r="F45" s="175">
        <f t="shared" si="6"/>
        <v>7.152587038206093E-6</v>
      </c>
      <c r="G45" s="655">
        <f t="shared" si="1"/>
        <v>0</v>
      </c>
      <c r="H45" s="656">
        <f t="shared" si="7"/>
        <v>7.152587038206093E-6</v>
      </c>
    </row>
    <row r="46" spans="1:8" x14ac:dyDescent="0.25">
      <c r="A46" s="54">
        <f t="shared" si="8"/>
        <v>92</v>
      </c>
      <c r="B46" s="55">
        <f t="shared" si="2"/>
        <v>6381491.5821504025</v>
      </c>
      <c r="C46" s="56">
        <f t="shared" si="3"/>
        <v>-6381487.7282387717</v>
      </c>
      <c r="D46" s="56">
        <f t="shared" si="4"/>
        <v>-3.8539044782222689</v>
      </c>
      <c r="E46" s="56">
        <f t="shared" si="5"/>
        <v>0</v>
      </c>
      <c r="F46" s="175">
        <f t="shared" si="6"/>
        <v>7.152587038206093E-6</v>
      </c>
      <c r="G46" s="655">
        <f t="shared" si="1"/>
        <v>0</v>
      </c>
      <c r="H46" s="656">
        <f t="shared" si="7"/>
        <v>7.152587038206093E-6</v>
      </c>
    </row>
    <row r="47" spans="1:8" x14ac:dyDescent="0.25">
      <c r="A47" s="54">
        <f t="shared" si="8"/>
        <v>93</v>
      </c>
      <c r="B47" s="55">
        <f t="shared" si="2"/>
        <v>6381491.5821504025</v>
      </c>
      <c r="C47" s="56">
        <f t="shared" si="3"/>
        <v>-6381487.7282387717</v>
      </c>
      <c r="D47" s="56">
        <f t="shared" si="4"/>
        <v>-3.8539044782222689</v>
      </c>
      <c r="E47" s="56">
        <f t="shared" si="5"/>
        <v>0</v>
      </c>
      <c r="F47" s="175">
        <f t="shared" si="6"/>
        <v>7.152587038206093E-6</v>
      </c>
      <c r="G47" s="655">
        <f t="shared" si="1"/>
        <v>0</v>
      </c>
      <c r="H47" s="656">
        <f t="shared" si="7"/>
        <v>7.152587038206093E-6</v>
      </c>
    </row>
    <row r="48" spans="1:8" x14ac:dyDescent="0.25">
      <c r="A48" s="54">
        <f t="shared" si="8"/>
        <v>94</v>
      </c>
      <c r="B48" s="55">
        <f t="shared" si="2"/>
        <v>6381491.5821504025</v>
      </c>
      <c r="C48" s="56">
        <f t="shared" si="3"/>
        <v>-6381487.7282387717</v>
      </c>
      <c r="D48" s="56">
        <f t="shared" si="4"/>
        <v>-3.8539044782222689</v>
      </c>
      <c r="E48" s="56">
        <f t="shared" si="5"/>
        <v>0</v>
      </c>
      <c r="F48" s="175">
        <f t="shared" si="6"/>
        <v>7.152587038206093E-6</v>
      </c>
      <c r="G48" s="655">
        <f t="shared" si="1"/>
        <v>0</v>
      </c>
      <c r="H48" s="656">
        <f t="shared" si="7"/>
        <v>7.152587038206093E-6</v>
      </c>
    </row>
    <row r="49" spans="1:8" x14ac:dyDescent="0.25">
      <c r="A49" s="54">
        <f t="shared" si="8"/>
        <v>95</v>
      </c>
      <c r="B49" s="55">
        <f t="shared" si="2"/>
        <v>6381491.5821504025</v>
      </c>
      <c r="C49" s="56">
        <f t="shared" si="3"/>
        <v>-6381487.7282387717</v>
      </c>
      <c r="D49" s="56">
        <f t="shared" si="4"/>
        <v>-3.8539044782222689</v>
      </c>
      <c r="E49" s="56">
        <f t="shared" si="5"/>
        <v>0</v>
      </c>
      <c r="F49" s="175">
        <f t="shared" si="6"/>
        <v>7.152587038206093E-6</v>
      </c>
      <c r="G49" s="655">
        <f t="shared" si="1"/>
        <v>0</v>
      </c>
      <c r="H49" s="656">
        <f t="shared" si="7"/>
        <v>7.152587038206093E-6</v>
      </c>
    </row>
    <row r="50" spans="1:8" x14ac:dyDescent="0.25">
      <c r="A50" s="54">
        <f t="shared" si="8"/>
        <v>96</v>
      </c>
      <c r="B50" s="55">
        <f t="shared" si="2"/>
        <v>6381491.5821504025</v>
      </c>
      <c r="C50" s="56">
        <f t="shared" si="3"/>
        <v>-6381487.7282387717</v>
      </c>
      <c r="D50" s="56">
        <f t="shared" si="4"/>
        <v>-3.8539044782222689</v>
      </c>
      <c r="E50" s="56">
        <f t="shared" si="5"/>
        <v>0</v>
      </c>
      <c r="F50" s="175">
        <f t="shared" si="6"/>
        <v>7.152587038206093E-6</v>
      </c>
      <c r="G50" s="655">
        <f t="shared" si="1"/>
        <v>0</v>
      </c>
      <c r="H50" s="656">
        <f t="shared" si="7"/>
        <v>7.152587038206093E-6</v>
      </c>
    </row>
    <row r="51" spans="1:8" x14ac:dyDescent="0.25">
      <c r="A51" s="54">
        <f t="shared" si="8"/>
        <v>97</v>
      </c>
      <c r="B51" s="55">
        <f t="shared" si="2"/>
        <v>6381491.5821504025</v>
      </c>
      <c r="C51" s="56">
        <f t="shared" si="3"/>
        <v>-6381487.7282387717</v>
      </c>
      <c r="D51" s="56">
        <f t="shared" si="4"/>
        <v>-3.8539044782222689</v>
      </c>
      <c r="E51" s="56">
        <f t="shared" si="5"/>
        <v>0</v>
      </c>
      <c r="F51" s="175">
        <f t="shared" si="6"/>
        <v>7.152587038206093E-6</v>
      </c>
      <c r="G51" s="655">
        <f t="shared" si="1"/>
        <v>0</v>
      </c>
      <c r="H51" s="656">
        <f t="shared" si="7"/>
        <v>7.152587038206093E-6</v>
      </c>
    </row>
    <row r="52" spans="1:8" x14ac:dyDescent="0.25">
      <c r="A52" s="54">
        <f t="shared" si="8"/>
        <v>98</v>
      </c>
      <c r="B52" s="55">
        <f t="shared" si="2"/>
        <v>6381491.5821504025</v>
      </c>
      <c r="C52" s="56">
        <f t="shared" si="3"/>
        <v>-6381487.7282387717</v>
      </c>
      <c r="D52" s="56">
        <f t="shared" si="4"/>
        <v>-3.8539044782222689</v>
      </c>
      <c r="E52" s="56">
        <f t="shared" si="5"/>
        <v>0</v>
      </c>
      <c r="F52" s="175">
        <f t="shared" si="6"/>
        <v>7.152587038206093E-6</v>
      </c>
      <c r="G52" s="655">
        <f t="shared" si="1"/>
        <v>0</v>
      </c>
      <c r="H52" s="656">
        <f t="shared" si="7"/>
        <v>7.152587038206093E-6</v>
      </c>
    </row>
    <row r="53" spans="1:8" x14ac:dyDescent="0.25">
      <c r="A53" s="54">
        <f t="shared" si="8"/>
        <v>99</v>
      </c>
      <c r="B53" s="55">
        <f t="shared" si="2"/>
        <v>6381491.5821504025</v>
      </c>
      <c r="C53" s="56">
        <f t="shared" si="3"/>
        <v>-6381487.7282387717</v>
      </c>
      <c r="D53" s="56">
        <f t="shared" si="4"/>
        <v>-3.8539044782222689</v>
      </c>
      <c r="E53" s="56">
        <f t="shared" si="5"/>
        <v>0</v>
      </c>
      <c r="F53" s="175">
        <f t="shared" si="6"/>
        <v>7.152587038206093E-6</v>
      </c>
      <c r="G53" s="655">
        <f t="shared" si="1"/>
        <v>0</v>
      </c>
      <c r="H53" s="656">
        <f t="shared" si="7"/>
        <v>7.152587038206093E-6</v>
      </c>
    </row>
    <row r="54" spans="1:8" x14ac:dyDescent="0.25">
      <c r="A54" s="54">
        <f t="shared" si="8"/>
        <v>100</v>
      </c>
      <c r="B54" s="55">
        <f t="shared" si="2"/>
        <v>6381491.5821504025</v>
      </c>
      <c r="C54" s="56">
        <f t="shared" si="3"/>
        <v>-6381487.7282387717</v>
      </c>
      <c r="D54" s="56">
        <f t="shared" si="4"/>
        <v>-3.8539044782222689</v>
      </c>
      <c r="E54" s="56">
        <f t="shared" si="5"/>
        <v>0</v>
      </c>
      <c r="F54" s="175">
        <f t="shared" si="6"/>
        <v>7.152587038206093E-6</v>
      </c>
      <c r="G54" s="655">
        <f t="shared" si="1"/>
        <v>0</v>
      </c>
      <c r="H54" s="656">
        <f t="shared" si="7"/>
        <v>7.152587038206093E-6</v>
      </c>
    </row>
    <row r="55" spans="1:8" x14ac:dyDescent="0.25">
      <c r="A55" s="54">
        <f t="shared" si="8"/>
        <v>101</v>
      </c>
      <c r="B55" s="55">
        <f t="shared" si="2"/>
        <v>6381491.5821504025</v>
      </c>
      <c r="C55" s="56">
        <f t="shared" si="3"/>
        <v>-6381487.7282387717</v>
      </c>
      <c r="D55" s="56">
        <f t="shared" si="4"/>
        <v>-3.8539044782222689</v>
      </c>
      <c r="E55" s="56">
        <f t="shared" si="5"/>
        <v>0</v>
      </c>
      <c r="F55" s="175">
        <f t="shared" si="6"/>
        <v>7.152587038206093E-6</v>
      </c>
      <c r="G55" s="655">
        <f t="shared" si="1"/>
        <v>0</v>
      </c>
      <c r="H55" s="656">
        <f t="shared" si="7"/>
        <v>7.152587038206093E-6</v>
      </c>
    </row>
    <row r="56" spans="1:8" x14ac:dyDescent="0.25">
      <c r="A56" s="54">
        <f t="shared" si="8"/>
        <v>102</v>
      </c>
      <c r="B56" s="55">
        <f t="shared" si="2"/>
        <v>6381491.5821504025</v>
      </c>
      <c r="C56" s="56">
        <f t="shared" si="3"/>
        <v>-6381487.7282387717</v>
      </c>
      <c r="D56" s="56">
        <f t="shared" si="4"/>
        <v>-3.8539044782222689</v>
      </c>
      <c r="E56" s="56">
        <f t="shared" si="5"/>
        <v>0</v>
      </c>
      <c r="F56" s="175">
        <f t="shared" si="6"/>
        <v>7.152587038206093E-6</v>
      </c>
      <c r="G56" s="655">
        <f t="shared" si="1"/>
        <v>0</v>
      </c>
      <c r="H56" s="656">
        <f t="shared" si="7"/>
        <v>7.152587038206093E-6</v>
      </c>
    </row>
    <row r="57" spans="1:8" x14ac:dyDescent="0.25">
      <c r="A57" s="54">
        <f t="shared" si="8"/>
        <v>103</v>
      </c>
      <c r="B57" s="55">
        <f t="shared" si="2"/>
        <v>6381491.5821504025</v>
      </c>
      <c r="C57" s="56">
        <f t="shared" si="3"/>
        <v>-6381487.7282387717</v>
      </c>
      <c r="D57" s="56">
        <f t="shared" si="4"/>
        <v>-3.8539044782222689</v>
      </c>
      <c r="E57" s="56">
        <f t="shared" si="5"/>
        <v>0</v>
      </c>
      <c r="F57" s="175">
        <f t="shared" si="6"/>
        <v>7.152587038206093E-6</v>
      </c>
      <c r="G57" s="655">
        <f t="shared" si="1"/>
        <v>0</v>
      </c>
      <c r="H57" s="656">
        <f t="shared" si="7"/>
        <v>7.152587038206093E-6</v>
      </c>
    </row>
    <row r="58" spans="1:8" x14ac:dyDescent="0.25">
      <c r="A58" s="54">
        <f t="shared" si="8"/>
        <v>104</v>
      </c>
      <c r="B58" s="55">
        <f t="shared" si="2"/>
        <v>6381491.5821504025</v>
      </c>
      <c r="C58" s="56">
        <f t="shared" si="3"/>
        <v>-6381487.7282387717</v>
      </c>
      <c r="D58" s="56">
        <f t="shared" si="4"/>
        <v>-3.8539044782222689</v>
      </c>
      <c r="E58" s="56">
        <f t="shared" si="5"/>
        <v>0</v>
      </c>
      <c r="F58" s="175">
        <f t="shared" si="6"/>
        <v>7.152587038206093E-6</v>
      </c>
      <c r="G58" s="655">
        <f t="shared" si="1"/>
        <v>0</v>
      </c>
      <c r="H58" s="656">
        <f t="shared" si="7"/>
        <v>7.152587038206093E-6</v>
      </c>
    </row>
    <row r="59" spans="1:8" x14ac:dyDescent="0.25">
      <c r="A59" s="54">
        <f t="shared" si="8"/>
        <v>105</v>
      </c>
      <c r="B59" s="55">
        <f t="shared" si="2"/>
        <v>6381491.5821504025</v>
      </c>
      <c r="C59" s="56">
        <f t="shared" si="3"/>
        <v>-6381487.7282387717</v>
      </c>
      <c r="D59" s="56">
        <f t="shared" si="4"/>
        <v>-3.8539044782222689</v>
      </c>
      <c r="E59" s="56">
        <f t="shared" si="5"/>
        <v>0</v>
      </c>
      <c r="F59" s="175">
        <f t="shared" si="6"/>
        <v>7.152587038206093E-6</v>
      </c>
      <c r="G59" s="655">
        <f t="shared" si="1"/>
        <v>0</v>
      </c>
      <c r="H59" s="656">
        <f t="shared" si="7"/>
        <v>7.152587038206093E-6</v>
      </c>
    </row>
    <row r="60" spans="1:8" x14ac:dyDescent="0.25">
      <c r="A60" s="54">
        <f t="shared" si="8"/>
        <v>106</v>
      </c>
      <c r="B60" s="55">
        <f t="shared" si="2"/>
        <v>6381491.5821504025</v>
      </c>
      <c r="C60" s="56">
        <f t="shared" si="3"/>
        <v>-6381487.7282387717</v>
      </c>
      <c r="D60" s="56">
        <f t="shared" si="4"/>
        <v>-3.8539044782222689</v>
      </c>
      <c r="E60" s="56">
        <f t="shared" si="5"/>
        <v>0</v>
      </c>
      <c r="F60" s="175">
        <f t="shared" si="6"/>
        <v>7.152587038206093E-6</v>
      </c>
      <c r="G60" s="655">
        <f t="shared" si="1"/>
        <v>0</v>
      </c>
      <c r="H60" s="656">
        <f t="shared" si="7"/>
        <v>7.152587038206093E-6</v>
      </c>
    </row>
    <row r="61" spans="1:8" x14ac:dyDescent="0.25">
      <c r="A61" s="54">
        <f t="shared" si="8"/>
        <v>107</v>
      </c>
      <c r="B61" s="55">
        <f t="shared" si="2"/>
        <v>6381491.5821504025</v>
      </c>
      <c r="C61" s="56">
        <f t="shared" si="3"/>
        <v>-6381487.7282387717</v>
      </c>
      <c r="D61" s="56">
        <f t="shared" si="4"/>
        <v>-3.8539044782222689</v>
      </c>
      <c r="E61" s="56">
        <f t="shared" si="5"/>
        <v>0</v>
      </c>
      <c r="F61" s="175">
        <f t="shared" si="6"/>
        <v>7.152587038206093E-6</v>
      </c>
      <c r="G61" s="655">
        <f t="shared" si="1"/>
        <v>0</v>
      </c>
      <c r="H61" s="656">
        <f t="shared" si="7"/>
        <v>7.152587038206093E-6</v>
      </c>
    </row>
    <row r="62" spans="1:8" x14ac:dyDescent="0.25">
      <c r="A62" s="54">
        <f t="shared" si="8"/>
        <v>108</v>
      </c>
      <c r="B62" s="55">
        <f t="shared" si="2"/>
        <v>6381491.5821504025</v>
      </c>
      <c r="C62" s="56">
        <f t="shared" si="3"/>
        <v>-6381487.7282387717</v>
      </c>
      <c r="D62" s="56">
        <f t="shared" si="4"/>
        <v>-3.8539044782222689</v>
      </c>
      <c r="E62" s="56">
        <f t="shared" si="5"/>
        <v>0</v>
      </c>
      <c r="F62" s="175">
        <f t="shared" si="6"/>
        <v>7.152587038206093E-6</v>
      </c>
      <c r="G62" s="655">
        <f t="shared" si="1"/>
        <v>0</v>
      </c>
      <c r="H62" s="656">
        <f t="shared" si="7"/>
        <v>7.152587038206093E-6</v>
      </c>
    </row>
    <row r="63" spans="1:8" x14ac:dyDescent="0.25">
      <c r="A63" s="54">
        <f t="shared" si="8"/>
        <v>109</v>
      </c>
      <c r="B63" s="55">
        <f t="shared" si="2"/>
        <v>6381491.5821504025</v>
      </c>
      <c r="C63" s="56">
        <f t="shared" si="3"/>
        <v>-6381487.7282387717</v>
      </c>
      <c r="D63" s="56">
        <f t="shared" si="4"/>
        <v>-3.8539044782222689</v>
      </c>
      <c r="E63" s="56">
        <f t="shared" si="5"/>
        <v>0</v>
      </c>
      <c r="F63" s="175">
        <f t="shared" si="6"/>
        <v>7.152587038206093E-6</v>
      </c>
      <c r="G63" s="655">
        <f t="shared" si="1"/>
        <v>0</v>
      </c>
      <c r="H63" s="656">
        <f t="shared" si="7"/>
        <v>7.152587038206093E-6</v>
      </c>
    </row>
    <row r="64" spans="1:8" x14ac:dyDescent="0.25">
      <c r="A64" s="54">
        <f t="shared" si="8"/>
        <v>110</v>
      </c>
      <c r="B64" s="55">
        <f t="shared" si="2"/>
        <v>6381491.5821504025</v>
      </c>
      <c r="C64" s="56">
        <f t="shared" si="3"/>
        <v>-6381487.7282387717</v>
      </c>
      <c r="D64" s="56">
        <f t="shared" si="4"/>
        <v>-3.8539044782222689</v>
      </c>
      <c r="E64" s="56">
        <f t="shared" si="5"/>
        <v>0</v>
      </c>
      <c r="F64" s="175">
        <f t="shared" si="6"/>
        <v>7.152587038206093E-6</v>
      </c>
      <c r="G64" s="655">
        <f t="shared" si="1"/>
        <v>0</v>
      </c>
      <c r="H64" s="656">
        <f t="shared" si="7"/>
        <v>7.152587038206093E-6</v>
      </c>
    </row>
    <row r="65" spans="1:8" x14ac:dyDescent="0.25">
      <c r="A65" s="54">
        <f t="shared" si="8"/>
        <v>111</v>
      </c>
      <c r="B65" s="55">
        <f t="shared" si="2"/>
        <v>6381491.5821504025</v>
      </c>
      <c r="C65" s="56">
        <f t="shared" si="3"/>
        <v>-6381487.7282387717</v>
      </c>
      <c r="D65" s="56">
        <f t="shared" si="4"/>
        <v>-3.8539044782222689</v>
      </c>
      <c r="E65" s="56">
        <f t="shared" si="5"/>
        <v>0</v>
      </c>
      <c r="F65" s="175">
        <f t="shared" si="6"/>
        <v>7.152587038206093E-6</v>
      </c>
      <c r="G65" s="655">
        <f t="shared" si="1"/>
        <v>0</v>
      </c>
      <c r="H65" s="656">
        <f t="shared" si="7"/>
        <v>7.152587038206093E-6</v>
      </c>
    </row>
    <row r="66" spans="1:8" x14ac:dyDescent="0.25">
      <c r="A66" s="54">
        <f t="shared" si="8"/>
        <v>112</v>
      </c>
      <c r="B66" s="55">
        <f t="shared" si="2"/>
        <v>6381491.5821504025</v>
      </c>
      <c r="C66" s="56">
        <f t="shared" si="3"/>
        <v>-6381487.7282387717</v>
      </c>
      <c r="D66" s="56">
        <f t="shared" si="4"/>
        <v>-3.8539044782222689</v>
      </c>
      <c r="E66" s="56">
        <f t="shared" si="5"/>
        <v>0</v>
      </c>
      <c r="F66" s="175">
        <f t="shared" si="6"/>
        <v>7.152587038206093E-6</v>
      </c>
      <c r="G66" s="655">
        <f t="shared" si="1"/>
        <v>0</v>
      </c>
      <c r="H66" s="656">
        <f t="shared" si="7"/>
        <v>7.152587038206093E-6</v>
      </c>
    </row>
    <row r="67" spans="1:8" x14ac:dyDescent="0.25">
      <c r="A67" s="54">
        <f t="shared" si="8"/>
        <v>113</v>
      </c>
      <c r="B67" s="55">
        <f t="shared" si="2"/>
        <v>6381491.5821504025</v>
      </c>
      <c r="C67" s="56">
        <f t="shared" si="3"/>
        <v>-6381487.7282387717</v>
      </c>
      <c r="D67" s="56">
        <f t="shared" si="4"/>
        <v>-3.8539044782222689</v>
      </c>
      <c r="E67" s="56">
        <f t="shared" si="5"/>
        <v>0</v>
      </c>
      <c r="F67" s="175">
        <f t="shared" si="6"/>
        <v>7.152587038206093E-6</v>
      </c>
      <c r="G67" s="655">
        <f t="shared" si="1"/>
        <v>0</v>
      </c>
      <c r="H67" s="656">
        <f t="shared" si="7"/>
        <v>7.152587038206093E-6</v>
      </c>
    </row>
    <row r="68" spans="1:8" x14ac:dyDescent="0.25">
      <c r="A68" s="54">
        <f t="shared" si="8"/>
        <v>114</v>
      </c>
      <c r="B68" s="55">
        <f t="shared" si="2"/>
        <v>6381491.5821504025</v>
      </c>
      <c r="C68" s="56">
        <f t="shared" si="3"/>
        <v>-6381487.7282387717</v>
      </c>
      <c r="D68" s="56">
        <f t="shared" si="4"/>
        <v>-3.8539044782222689</v>
      </c>
      <c r="E68" s="56">
        <f t="shared" si="5"/>
        <v>0</v>
      </c>
      <c r="F68" s="175">
        <f t="shared" si="6"/>
        <v>7.152587038206093E-6</v>
      </c>
      <c r="G68" s="655">
        <f t="shared" ref="G68:G104" si="9">IF(A68&lt;$K$16,0,A68-$K$16-$K$17)</f>
        <v>0</v>
      </c>
      <c r="H68" s="656">
        <f t="shared" si="7"/>
        <v>7.152587038206093E-6</v>
      </c>
    </row>
    <row r="69" spans="1:8" x14ac:dyDescent="0.25">
      <c r="A69" s="54">
        <f t="shared" si="8"/>
        <v>115</v>
      </c>
      <c r="B69" s="55">
        <f t="shared" ref="B69:B104" si="10">(MAX(IF($B$1="C",1,-1)*(A69-$K$5),0)-IF($K$10="Y",$K$13*EXP($K$6*$K$9),0))*$K$4</f>
        <v>6381491.5821504025</v>
      </c>
      <c r="C69" s="56">
        <f t="shared" ref="C69:C104" si="11">(MAX(IF($C$1="C",1,-1)*(A69-$L$5),0)-IF($K$10="Y",$L$13*EXP($K$6*$K$9),0))*$L$4</f>
        <v>-6381487.7282387717</v>
      </c>
      <c r="D69" s="56">
        <f t="shared" ref="D69:D104" si="12">(MAX(IF($D$1="C",1,-1)*(A69-$M$5),0)-IF($K$10="Y",$M$13*EXP($K$6*$K$9),0))*$M$4</f>
        <v>-3.8539044782222689</v>
      </c>
      <c r="E69" s="56">
        <f t="shared" ref="E69:E104" si="13">(MAX(IF($E$1="C",1,-1)*(A69-$N$5),0)-IF($K$10="Y",$N$13*EXP($K$6*$K$9),0))*$N$4</f>
        <v>0</v>
      </c>
      <c r="F69" s="175">
        <f t="shared" ref="F69:F104" si="14">SUM(B69:E69)</f>
        <v>7.152587038206093E-6</v>
      </c>
      <c r="G69" s="655">
        <f t="shared" si="9"/>
        <v>0</v>
      </c>
      <c r="H69" s="656">
        <f t="shared" ref="H69:H104" si="15">F69-G69</f>
        <v>7.152587038206093E-6</v>
      </c>
    </row>
    <row r="70" spans="1:8" x14ac:dyDescent="0.25">
      <c r="A70" s="54">
        <f t="shared" ref="A70:A104" si="16">A69+1</f>
        <v>116</v>
      </c>
      <c r="B70" s="55">
        <f t="shared" si="10"/>
        <v>6381491.5821504025</v>
      </c>
      <c r="C70" s="56">
        <f t="shared" si="11"/>
        <v>-6381487.7282387717</v>
      </c>
      <c r="D70" s="56">
        <f t="shared" si="12"/>
        <v>-3.8539044782222689</v>
      </c>
      <c r="E70" s="56">
        <f t="shared" si="13"/>
        <v>0</v>
      </c>
      <c r="F70" s="175">
        <f t="shared" si="14"/>
        <v>7.152587038206093E-6</v>
      </c>
      <c r="G70" s="655">
        <f t="shared" si="9"/>
        <v>0</v>
      </c>
      <c r="H70" s="656">
        <f t="shared" si="15"/>
        <v>7.152587038206093E-6</v>
      </c>
    </row>
    <row r="71" spans="1:8" x14ac:dyDescent="0.25">
      <c r="A71" s="54">
        <f t="shared" si="16"/>
        <v>117</v>
      </c>
      <c r="B71" s="55">
        <f t="shared" si="10"/>
        <v>6381491.5821504025</v>
      </c>
      <c r="C71" s="56">
        <f t="shared" si="11"/>
        <v>-6381487.7282387717</v>
      </c>
      <c r="D71" s="56">
        <f t="shared" si="12"/>
        <v>-3.8539044782222689</v>
      </c>
      <c r="E71" s="56">
        <f t="shared" si="13"/>
        <v>0</v>
      </c>
      <c r="F71" s="175">
        <f t="shared" si="14"/>
        <v>7.152587038206093E-6</v>
      </c>
      <c r="G71" s="655">
        <f t="shared" si="9"/>
        <v>0</v>
      </c>
      <c r="H71" s="656">
        <f t="shared" si="15"/>
        <v>7.152587038206093E-6</v>
      </c>
    </row>
    <row r="72" spans="1:8" x14ac:dyDescent="0.25">
      <c r="A72" s="54">
        <f t="shared" si="16"/>
        <v>118</v>
      </c>
      <c r="B72" s="55">
        <f t="shared" si="10"/>
        <v>6381491.5821504025</v>
      </c>
      <c r="C72" s="56">
        <f t="shared" si="11"/>
        <v>-6381487.7282387717</v>
      </c>
      <c r="D72" s="56">
        <f t="shared" si="12"/>
        <v>-3.8539044782222689</v>
      </c>
      <c r="E72" s="56">
        <f t="shared" si="13"/>
        <v>0</v>
      </c>
      <c r="F72" s="175">
        <f t="shared" si="14"/>
        <v>7.152587038206093E-6</v>
      </c>
      <c r="G72" s="655">
        <f t="shared" si="9"/>
        <v>0</v>
      </c>
      <c r="H72" s="656">
        <f t="shared" si="15"/>
        <v>7.152587038206093E-6</v>
      </c>
    </row>
    <row r="73" spans="1:8" x14ac:dyDescent="0.25">
      <c r="A73" s="54">
        <f t="shared" si="16"/>
        <v>119</v>
      </c>
      <c r="B73" s="55">
        <f t="shared" si="10"/>
        <v>6381491.5821504025</v>
      </c>
      <c r="C73" s="56">
        <f t="shared" si="11"/>
        <v>-6381487.7282387717</v>
      </c>
      <c r="D73" s="56">
        <f t="shared" si="12"/>
        <v>-3.8539044782222689</v>
      </c>
      <c r="E73" s="56">
        <f t="shared" si="13"/>
        <v>0</v>
      </c>
      <c r="F73" s="175">
        <f t="shared" si="14"/>
        <v>7.152587038206093E-6</v>
      </c>
      <c r="G73" s="655">
        <f t="shared" si="9"/>
        <v>0</v>
      </c>
      <c r="H73" s="656">
        <f t="shared" si="15"/>
        <v>7.152587038206093E-6</v>
      </c>
    </row>
    <row r="74" spans="1:8" x14ac:dyDescent="0.25">
      <c r="A74" s="54">
        <f t="shared" si="16"/>
        <v>120</v>
      </c>
      <c r="B74" s="55">
        <f t="shared" si="10"/>
        <v>6381491.5821504025</v>
      </c>
      <c r="C74" s="56">
        <f t="shared" si="11"/>
        <v>-6381487.7282387717</v>
      </c>
      <c r="D74" s="56">
        <f t="shared" si="12"/>
        <v>-3.8539044782222689</v>
      </c>
      <c r="E74" s="56">
        <f t="shared" si="13"/>
        <v>0</v>
      </c>
      <c r="F74" s="175">
        <f t="shared" si="14"/>
        <v>7.152587038206093E-6</v>
      </c>
      <c r="G74" s="655">
        <f t="shared" si="9"/>
        <v>-16.356204346659126</v>
      </c>
      <c r="H74" s="656">
        <f t="shared" si="15"/>
        <v>16.356211499246164</v>
      </c>
    </row>
    <row r="75" spans="1:8" x14ac:dyDescent="0.25">
      <c r="A75" s="54">
        <f t="shared" si="16"/>
        <v>121</v>
      </c>
      <c r="B75" s="55">
        <f t="shared" si="10"/>
        <v>4725641.5826759925</v>
      </c>
      <c r="C75" s="56">
        <f t="shared" si="11"/>
        <v>-4725654.287264362</v>
      </c>
      <c r="D75" s="56">
        <f t="shared" si="12"/>
        <v>-2.8539144782222721</v>
      </c>
      <c r="E75" s="56">
        <f t="shared" si="13"/>
        <v>0</v>
      </c>
      <c r="F75" s="175">
        <f t="shared" si="14"/>
        <v>-15.558502847688636</v>
      </c>
      <c r="G75" s="655">
        <f t="shared" si="9"/>
        <v>-15.356204346659126</v>
      </c>
      <c r="H75" s="656">
        <f t="shared" si="15"/>
        <v>-0.20229850102951019</v>
      </c>
    </row>
    <row r="76" spans="1:8" x14ac:dyDescent="0.25">
      <c r="A76" s="54">
        <f t="shared" si="16"/>
        <v>122</v>
      </c>
      <c r="B76" s="55">
        <f t="shared" si="10"/>
        <v>3069791.5832015816</v>
      </c>
      <c r="C76" s="56">
        <f t="shared" si="11"/>
        <v>-3069804.2877899511</v>
      </c>
      <c r="D76" s="56">
        <f t="shared" si="12"/>
        <v>-1.8539144782222721</v>
      </c>
      <c r="E76" s="56">
        <f t="shared" si="13"/>
        <v>0</v>
      </c>
      <c r="F76" s="175">
        <f t="shared" si="14"/>
        <v>-14.558502847688636</v>
      </c>
      <c r="G76" s="655">
        <f t="shared" si="9"/>
        <v>-14.356204346659126</v>
      </c>
      <c r="H76" s="656">
        <f t="shared" si="15"/>
        <v>-0.20229850102951019</v>
      </c>
    </row>
    <row r="77" spans="1:8" x14ac:dyDescent="0.25">
      <c r="A77" s="54">
        <f t="shared" si="16"/>
        <v>123</v>
      </c>
      <c r="B77" s="55">
        <f t="shared" si="10"/>
        <v>1413941.5837271712</v>
      </c>
      <c r="C77" s="56">
        <f t="shared" si="11"/>
        <v>-1413954.2883155406</v>
      </c>
      <c r="D77" s="56">
        <f t="shared" si="12"/>
        <v>-0.85391447822227207</v>
      </c>
      <c r="E77" s="56">
        <f t="shared" si="13"/>
        <v>0</v>
      </c>
      <c r="F77" s="175">
        <f t="shared" si="14"/>
        <v>-13.558502847688636</v>
      </c>
      <c r="G77" s="655">
        <f t="shared" si="9"/>
        <v>-13.356204346659126</v>
      </c>
      <c r="H77" s="656">
        <f t="shared" si="15"/>
        <v>-0.20229850102951019</v>
      </c>
    </row>
    <row r="78" spans="1:8" x14ac:dyDescent="0.25">
      <c r="A78" s="54">
        <f t="shared" si="16"/>
        <v>124</v>
      </c>
      <c r="B78" s="55">
        <f t="shared" si="10"/>
        <v>-241908.41574723925</v>
      </c>
      <c r="C78" s="56">
        <f t="shared" si="11"/>
        <v>241895.71115886976</v>
      </c>
      <c r="D78" s="56">
        <f t="shared" si="12"/>
        <v>0.14608552177772793</v>
      </c>
      <c r="E78" s="56">
        <f t="shared" si="13"/>
        <v>0</v>
      </c>
      <c r="F78" s="175">
        <f t="shared" si="14"/>
        <v>-12.55850284771774</v>
      </c>
      <c r="G78" s="655">
        <f t="shared" si="9"/>
        <v>-12.356204346659126</v>
      </c>
      <c r="H78" s="656">
        <f t="shared" si="15"/>
        <v>-0.20229850105861402</v>
      </c>
    </row>
    <row r="79" spans="1:8" x14ac:dyDescent="0.25">
      <c r="A79" s="54">
        <f t="shared" si="16"/>
        <v>125</v>
      </c>
      <c r="B79" s="55">
        <f t="shared" si="10"/>
        <v>-1897758.4152216497</v>
      </c>
      <c r="C79" s="56">
        <f t="shared" si="11"/>
        <v>1897745.7106332802</v>
      </c>
      <c r="D79" s="56">
        <f t="shared" si="12"/>
        <v>1.1460855217777279</v>
      </c>
      <c r="E79" s="56">
        <f t="shared" si="13"/>
        <v>0</v>
      </c>
      <c r="F79" s="175">
        <f t="shared" si="14"/>
        <v>-11.558502847688636</v>
      </c>
      <c r="G79" s="655">
        <f t="shared" si="9"/>
        <v>-11.356204346659126</v>
      </c>
      <c r="H79" s="656">
        <f t="shared" si="15"/>
        <v>-0.20229850102951019</v>
      </c>
    </row>
    <row r="80" spans="1:8" x14ac:dyDescent="0.25">
      <c r="A80" s="54">
        <f t="shared" si="16"/>
        <v>126</v>
      </c>
      <c r="B80" s="55">
        <f t="shared" si="10"/>
        <v>-3553608.4146960601</v>
      </c>
      <c r="C80" s="56">
        <f t="shared" si="11"/>
        <v>3553595.7101076907</v>
      </c>
      <c r="D80" s="56">
        <f t="shared" si="12"/>
        <v>2.1460855217777279</v>
      </c>
      <c r="E80" s="56">
        <f t="shared" si="13"/>
        <v>0</v>
      </c>
      <c r="F80" s="175">
        <f t="shared" si="14"/>
        <v>-10.558502847688636</v>
      </c>
      <c r="G80" s="655">
        <f t="shared" si="9"/>
        <v>-10.356204346659126</v>
      </c>
      <c r="H80" s="656">
        <f t="shared" si="15"/>
        <v>-0.20229850102951019</v>
      </c>
    </row>
    <row r="81" spans="1:8" x14ac:dyDescent="0.25">
      <c r="A81" s="54">
        <f t="shared" si="16"/>
        <v>127</v>
      </c>
      <c r="B81" s="55">
        <f t="shared" si="10"/>
        <v>-5209458.4141704701</v>
      </c>
      <c r="C81" s="56">
        <f t="shared" si="11"/>
        <v>5209445.7095821006</v>
      </c>
      <c r="D81" s="56">
        <f t="shared" si="12"/>
        <v>3.1460855217777279</v>
      </c>
      <c r="E81" s="56">
        <f t="shared" si="13"/>
        <v>0</v>
      </c>
      <c r="F81" s="175">
        <f t="shared" si="14"/>
        <v>-9.5585028476886365</v>
      </c>
      <c r="G81" s="655">
        <f t="shared" si="9"/>
        <v>-9.3562043466591263</v>
      </c>
      <c r="H81" s="656">
        <f t="shared" si="15"/>
        <v>-0.20229850102951019</v>
      </c>
    </row>
    <row r="82" spans="1:8" x14ac:dyDescent="0.25">
      <c r="A82" s="54">
        <f t="shared" si="16"/>
        <v>128</v>
      </c>
      <c r="B82" s="55">
        <f t="shared" si="10"/>
        <v>-6865308.4136448801</v>
      </c>
      <c r="C82" s="56">
        <f t="shared" si="11"/>
        <v>6865295.7090565115</v>
      </c>
      <c r="D82" s="56">
        <f t="shared" si="12"/>
        <v>4.1460855217777279</v>
      </c>
      <c r="E82" s="56">
        <f t="shared" si="13"/>
        <v>0</v>
      </c>
      <c r="F82" s="175">
        <f t="shared" si="14"/>
        <v>-8.5585028467573139</v>
      </c>
      <c r="G82" s="655">
        <f t="shared" si="9"/>
        <v>-8.3562043466591263</v>
      </c>
      <c r="H82" s="656">
        <f t="shared" si="15"/>
        <v>-0.20229850009818762</v>
      </c>
    </row>
    <row r="83" spans="1:8" x14ac:dyDescent="0.25">
      <c r="A83" s="54">
        <f t="shared" si="16"/>
        <v>129</v>
      </c>
      <c r="B83" s="55">
        <f t="shared" si="10"/>
        <v>-8521158.41311929</v>
      </c>
      <c r="C83" s="56">
        <f t="shared" si="11"/>
        <v>8521145.7085309215</v>
      </c>
      <c r="D83" s="56">
        <f t="shared" si="12"/>
        <v>5.1460855217777279</v>
      </c>
      <c r="E83" s="56">
        <f t="shared" si="13"/>
        <v>0</v>
      </c>
      <c r="F83" s="175">
        <f t="shared" si="14"/>
        <v>-7.5585028467573139</v>
      </c>
      <c r="G83" s="655">
        <f t="shared" si="9"/>
        <v>-7.3562043466591263</v>
      </c>
      <c r="H83" s="656">
        <f t="shared" si="15"/>
        <v>-0.20229850009818762</v>
      </c>
    </row>
    <row r="84" spans="1:8" x14ac:dyDescent="0.25">
      <c r="A84" s="54">
        <f t="shared" si="16"/>
        <v>130</v>
      </c>
      <c r="B84" s="55">
        <f t="shared" si="10"/>
        <v>-10177008.412593702</v>
      </c>
      <c r="C84" s="56">
        <f t="shared" si="11"/>
        <v>10176995.708005331</v>
      </c>
      <c r="D84" s="56">
        <f t="shared" si="12"/>
        <v>6.1460855217777279</v>
      </c>
      <c r="E84" s="56">
        <f t="shared" si="13"/>
        <v>0</v>
      </c>
      <c r="F84" s="175">
        <f t="shared" si="14"/>
        <v>-6.558502848619959</v>
      </c>
      <c r="G84" s="655">
        <f t="shared" si="9"/>
        <v>-6.3562043466591263</v>
      </c>
      <c r="H84" s="656">
        <f t="shared" si="15"/>
        <v>-0.20229850196083277</v>
      </c>
    </row>
    <row r="85" spans="1:8" x14ac:dyDescent="0.25">
      <c r="A85" s="54">
        <f t="shared" si="16"/>
        <v>131</v>
      </c>
      <c r="B85" s="55">
        <f t="shared" si="10"/>
        <v>-11832858.412068112</v>
      </c>
      <c r="C85" s="56">
        <f t="shared" si="11"/>
        <v>11832845.707479743</v>
      </c>
      <c r="D85" s="56">
        <f t="shared" si="12"/>
        <v>7.1460855217777279</v>
      </c>
      <c r="E85" s="56">
        <f t="shared" si="13"/>
        <v>0</v>
      </c>
      <c r="F85" s="175">
        <f t="shared" si="14"/>
        <v>-5.5585028467573139</v>
      </c>
      <c r="G85" s="655">
        <f t="shared" si="9"/>
        <v>-5.3562043466591263</v>
      </c>
      <c r="H85" s="656">
        <f t="shared" si="15"/>
        <v>-0.20229850009818762</v>
      </c>
    </row>
    <row r="86" spans="1:8" x14ac:dyDescent="0.25">
      <c r="A86" s="54">
        <f t="shared" si="16"/>
        <v>132</v>
      </c>
      <c r="B86" s="55">
        <f t="shared" si="10"/>
        <v>-13488708.411542522</v>
      </c>
      <c r="C86" s="56">
        <f t="shared" si="11"/>
        <v>13488695.706954153</v>
      </c>
      <c r="D86" s="56">
        <f t="shared" si="12"/>
        <v>8.1460855217777279</v>
      </c>
      <c r="E86" s="56">
        <f t="shared" si="13"/>
        <v>0</v>
      </c>
      <c r="F86" s="175">
        <f t="shared" si="14"/>
        <v>-4.5585028467573139</v>
      </c>
      <c r="G86" s="655">
        <f t="shared" si="9"/>
        <v>-4.3562043466591263</v>
      </c>
      <c r="H86" s="656">
        <f t="shared" si="15"/>
        <v>-0.20229850009818762</v>
      </c>
    </row>
    <row r="87" spans="1:8" x14ac:dyDescent="0.25">
      <c r="A87" s="54">
        <f t="shared" si="16"/>
        <v>133</v>
      </c>
      <c r="B87" s="55">
        <f t="shared" si="10"/>
        <v>-15144558.411016932</v>
      </c>
      <c r="C87" s="56">
        <f t="shared" si="11"/>
        <v>15144545.706428563</v>
      </c>
      <c r="D87" s="56">
        <f t="shared" si="12"/>
        <v>9.1460855217777279</v>
      </c>
      <c r="E87" s="56">
        <f t="shared" si="13"/>
        <v>0</v>
      </c>
      <c r="F87" s="175">
        <f t="shared" si="14"/>
        <v>-3.5585028467573139</v>
      </c>
      <c r="G87" s="655">
        <f t="shared" si="9"/>
        <v>-3.3562043466591263</v>
      </c>
      <c r="H87" s="656">
        <f t="shared" si="15"/>
        <v>-0.20229850009818762</v>
      </c>
    </row>
    <row r="88" spans="1:8" x14ac:dyDescent="0.25">
      <c r="A88" s="54">
        <f t="shared" si="16"/>
        <v>134</v>
      </c>
      <c r="B88" s="55">
        <f t="shared" si="10"/>
        <v>-16800408.410491344</v>
      </c>
      <c r="C88" s="56">
        <f t="shared" si="11"/>
        <v>16800395.705902975</v>
      </c>
      <c r="D88" s="56">
        <f t="shared" si="12"/>
        <v>10.146085521777728</v>
      </c>
      <c r="E88" s="56">
        <f t="shared" si="13"/>
        <v>0</v>
      </c>
      <c r="F88" s="175">
        <f t="shared" si="14"/>
        <v>-2.5585028467573139</v>
      </c>
      <c r="G88" s="655">
        <f t="shared" si="9"/>
        <v>-2.3562043466591263</v>
      </c>
      <c r="H88" s="656">
        <f t="shared" si="15"/>
        <v>-0.20229850009818762</v>
      </c>
    </row>
    <row r="89" spans="1:8" x14ac:dyDescent="0.25">
      <c r="A89" s="54">
        <f t="shared" si="16"/>
        <v>135</v>
      </c>
      <c r="B89" s="55">
        <f t="shared" si="10"/>
        <v>-18456258.409965754</v>
      </c>
      <c r="C89" s="56">
        <f t="shared" si="11"/>
        <v>18456245.705377385</v>
      </c>
      <c r="D89" s="56">
        <f t="shared" si="12"/>
        <v>11.146085521777728</v>
      </c>
      <c r="E89" s="56">
        <f t="shared" si="13"/>
        <v>0</v>
      </c>
      <c r="F89" s="175">
        <f t="shared" si="14"/>
        <v>-1.5585028467573139</v>
      </c>
      <c r="G89" s="655">
        <f t="shared" si="9"/>
        <v>-1.3562043466591263</v>
      </c>
      <c r="H89" s="656">
        <f t="shared" si="15"/>
        <v>-0.20229850009818762</v>
      </c>
    </row>
    <row r="90" spans="1:8" x14ac:dyDescent="0.25">
      <c r="A90" s="54">
        <f t="shared" si="16"/>
        <v>136</v>
      </c>
      <c r="B90" s="55">
        <f t="shared" si="10"/>
        <v>-20112108.409440164</v>
      </c>
      <c r="C90" s="56">
        <f t="shared" si="11"/>
        <v>20112095.704851795</v>
      </c>
      <c r="D90" s="56">
        <f t="shared" si="12"/>
        <v>12.146085521777728</v>
      </c>
      <c r="E90" s="56">
        <f t="shared" si="13"/>
        <v>0</v>
      </c>
      <c r="F90" s="175">
        <f t="shared" si="14"/>
        <v>-0.55850284675731388</v>
      </c>
      <c r="G90" s="655">
        <f t="shared" si="9"/>
        <v>-0.35620434665912626</v>
      </c>
      <c r="H90" s="656">
        <f t="shared" si="15"/>
        <v>-0.20229850009818762</v>
      </c>
    </row>
    <row r="91" spans="1:8" x14ac:dyDescent="0.25">
      <c r="A91" s="54">
        <f t="shared" si="16"/>
        <v>137</v>
      </c>
      <c r="B91" s="55">
        <f t="shared" si="10"/>
        <v>-21767958.408914573</v>
      </c>
      <c r="C91" s="56">
        <f t="shared" si="11"/>
        <v>21767945.704326205</v>
      </c>
      <c r="D91" s="56">
        <f t="shared" si="12"/>
        <v>13.146085521777728</v>
      </c>
      <c r="E91" s="56">
        <f t="shared" si="13"/>
        <v>0</v>
      </c>
      <c r="F91" s="175">
        <f t="shared" si="14"/>
        <v>0.44149715324268612</v>
      </c>
      <c r="G91" s="655">
        <f t="shared" si="9"/>
        <v>0.64379565334087374</v>
      </c>
      <c r="H91" s="656">
        <f t="shared" si="15"/>
        <v>-0.20229850009818762</v>
      </c>
    </row>
    <row r="92" spans="1:8" x14ac:dyDescent="0.25">
      <c r="A92" s="54">
        <f t="shared" si="16"/>
        <v>138</v>
      </c>
      <c r="B92" s="55">
        <f t="shared" si="10"/>
        <v>-23423808.408388983</v>
      </c>
      <c r="C92" s="56">
        <f t="shared" si="11"/>
        <v>23423795.703800615</v>
      </c>
      <c r="D92" s="56">
        <f t="shared" si="12"/>
        <v>14.146085521777728</v>
      </c>
      <c r="E92" s="56">
        <f t="shared" si="13"/>
        <v>0</v>
      </c>
      <c r="F92" s="175">
        <f t="shared" si="14"/>
        <v>1.4414971532426861</v>
      </c>
      <c r="G92" s="655">
        <f t="shared" si="9"/>
        <v>1.6437956533408737</v>
      </c>
      <c r="H92" s="656">
        <f t="shared" si="15"/>
        <v>-0.20229850009818762</v>
      </c>
    </row>
    <row r="93" spans="1:8" x14ac:dyDescent="0.25">
      <c r="A93" s="54">
        <f t="shared" si="16"/>
        <v>139</v>
      </c>
      <c r="B93" s="55">
        <f t="shared" si="10"/>
        <v>-25079658.407863393</v>
      </c>
      <c r="C93" s="56">
        <f t="shared" si="11"/>
        <v>25079645.703275025</v>
      </c>
      <c r="D93" s="56">
        <f t="shared" si="12"/>
        <v>15.146085521777728</v>
      </c>
      <c r="E93" s="56">
        <f t="shared" si="13"/>
        <v>0</v>
      </c>
      <c r="F93" s="175">
        <f t="shared" si="14"/>
        <v>2.4414971532426861</v>
      </c>
      <c r="G93" s="655">
        <f t="shared" si="9"/>
        <v>2.6437956533408737</v>
      </c>
      <c r="H93" s="656">
        <f t="shared" si="15"/>
        <v>-0.20229850009818762</v>
      </c>
    </row>
    <row r="94" spans="1:8" x14ac:dyDescent="0.25">
      <c r="A94" s="54">
        <f t="shared" si="16"/>
        <v>140</v>
      </c>
      <c r="B94" s="55">
        <f t="shared" si="10"/>
        <v>-26735508.407337807</v>
      </c>
      <c r="C94" s="56">
        <f t="shared" si="11"/>
        <v>26735495.702749435</v>
      </c>
      <c r="D94" s="56">
        <f t="shared" si="12"/>
        <v>16.146085521777728</v>
      </c>
      <c r="E94" s="56">
        <f t="shared" si="13"/>
        <v>0</v>
      </c>
      <c r="F94" s="175">
        <f t="shared" si="14"/>
        <v>3.4414971495173958</v>
      </c>
      <c r="G94" s="655">
        <f t="shared" si="9"/>
        <v>3.6437956533408737</v>
      </c>
      <c r="H94" s="656">
        <f t="shared" si="15"/>
        <v>-0.20229850382347792</v>
      </c>
    </row>
    <row r="95" spans="1:8" x14ac:dyDescent="0.25">
      <c r="A95" s="54">
        <f t="shared" si="16"/>
        <v>141</v>
      </c>
      <c r="B95" s="55">
        <f t="shared" si="10"/>
        <v>-28391358.406812217</v>
      </c>
      <c r="C95" s="56">
        <f t="shared" si="11"/>
        <v>28391345.702223849</v>
      </c>
      <c r="D95" s="56">
        <f t="shared" si="12"/>
        <v>17.146085521777728</v>
      </c>
      <c r="E95" s="56">
        <f t="shared" si="13"/>
        <v>0</v>
      </c>
      <c r="F95" s="175">
        <f t="shared" si="14"/>
        <v>4.4414971532426861</v>
      </c>
      <c r="G95" s="655">
        <f t="shared" si="9"/>
        <v>4.6437956533408737</v>
      </c>
      <c r="H95" s="656">
        <f t="shared" si="15"/>
        <v>-0.20229850009818762</v>
      </c>
    </row>
    <row r="96" spans="1:8" x14ac:dyDescent="0.25">
      <c r="A96" s="54">
        <f t="shared" si="16"/>
        <v>142</v>
      </c>
      <c r="B96" s="55">
        <f t="shared" si="10"/>
        <v>-30047208.406286627</v>
      </c>
      <c r="C96" s="56">
        <f t="shared" si="11"/>
        <v>30047195.701698259</v>
      </c>
      <c r="D96" s="56">
        <f t="shared" si="12"/>
        <v>18.146085521777728</v>
      </c>
      <c r="E96" s="56">
        <f t="shared" si="13"/>
        <v>0</v>
      </c>
      <c r="F96" s="175">
        <f t="shared" si="14"/>
        <v>5.4414971532426861</v>
      </c>
      <c r="G96" s="655">
        <f t="shared" si="9"/>
        <v>5.6437956533408737</v>
      </c>
      <c r="H96" s="656">
        <f t="shared" si="15"/>
        <v>-0.20229850009818762</v>
      </c>
    </row>
    <row r="97" spans="1:8" x14ac:dyDescent="0.25">
      <c r="A97" s="54">
        <f t="shared" si="16"/>
        <v>143</v>
      </c>
      <c r="B97" s="55">
        <f t="shared" si="10"/>
        <v>-31703058.405761037</v>
      </c>
      <c r="C97" s="56">
        <f t="shared" si="11"/>
        <v>31703045.701172668</v>
      </c>
      <c r="D97" s="56">
        <f t="shared" si="12"/>
        <v>19.146085521777728</v>
      </c>
      <c r="E97" s="56">
        <f t="shared" si="13"/>
        <v>0</v>
      </c>
      <c r="F97" s="175">
        <f t="shared" si="14"/>
        <v>6.4414971532426861</v>
      </c>
      <c r="G97" s="655">
        <f t="shared" si="9"/>
        <v>6.6437956533408737</v>
      </c>
      <c r="H97" s="656">
        <f t="shared" si="15"/>
        <v>-0.20229850009818762</v>
      </c>
    </row>
    <row r="98" spans="1:8" x14ac:dyDescent="0.25">
      <c r="A98" s="54">
        <f t="shared" si="16"/>
        <v>144</v>
      </c>
      <c r="B98" s="55">
        <f t="shared" si="10"/>
        <v>-33358908.405235447</v>
      </c>
      <c r="C98" s="56">
        <f t="shared" si="11"/>
        <v>33358895.700647078</v>
      </c>
      <c r="D98" s="56">
        <f t="shared" si="12"/>
        <v>20.146085521777728</v>
      </c>
      <c r="E98" s="56">
        <f t="shared" si="13"/>
        <v>0</v>
      </c>
      <c r="F98" s="175">
        <f t="shared" si="14"/>
        <v>7.4414971532426861</v>
      </c>
      <c r="G98" s="655">
        <f t="shared" si="9"/>
        <v>7.6437956533408737</v>
      </c>
      <c r="H98" s="656">
        <f t="shared" si="15"/>
        <v>-0.20229850009818762</v>
      </c>
    </row>
    <row r="99" spans="1:8" x14ac:dyDescent="0.25">
      <c r="A99" s="54">
        <f t="shared" si="16"/>
        <v>145</v>
      </c>
      <c r="B99" s="55">
        <f t="shared" si="10"/>
        <v>-35014758.404709861</v>
      </c>
      <c r="C99" s="56">
        <f t="shared" si="11"/>
        <v>35014745.700121492</v>
      </c>
      <c r="D99" s="56">
        <f t="shared" si="12"/>
        <v>21.146085521777728</v>
      </c>
      <c r="E99" s="56">
        <f t="shared" si="13"/>
        <v>0</v>
      </c>
      <c r="F99" s="175">
        <f t="shared" si="14"/>
        <v>8.4414971532426861</v>
      </c>
      <c r="G99" s="655">
        <f t="shared" si="9"/>
        <v>8.6437956533408737</v>
      </c>
      <c r="H99" s="656">
        <f t="shared" si="15"/>
        <v>-0.20229850009818762</v>
      </c>
    </row>
    <row r="100" spans="1:8" x14ac:dyDescent="0.25">
      <c r="A100" s="54">
        <f t="shared" si="16"/>
        <v>146</v>
      </c>
      <c r="B100" s="55">
        <f t="shared" si="10"/>
        <v>-36670608.404184267</v>
      </c>
      <c r="C100" s="56">
        <f t="shared" si="11"/>
        <v>36670595.699595898</v>
      </c>
      <c r="D100" s="56">
        <f t="shared" si="12"/>
        <v>22.146085521777728</v>
      </c>
      <c r="E100" s="56">
        <f t="shared" si="13"/>
        <v>0</v>
      </c>
      <c r="F100" s="175">
        <f t="shared" si="14"/>
        <v>9.4414971532426861</v>
      </c>
      <c r="G100" s="655">
        <f t="shared" si="9"/>
        <v>9.6437956533408737</v>
      </c>
      <c r="H100" s="656">
        <f t="shared" si="15"/>
        <v>-0.20229850009818762</v>
      </c>
    </row>
    <row r="101" spans="1:8" x14ac:dyDescent="0.25">
      <c r="A101" s="54">
        <f t="shared" si="16"/>
        <v>147</v>
      </c>
      <c r="B101" s="55">
        <f t="shared" si="10"/>
        <v>-38326458.403658681</v>
      </c>
      <c r="C101" s="56">
        <f t="shared" si="11"/>
        <v>38326445.699070312</v>
      </c>
      <c r="D101" s="56">
        <f t="shared" si="12"/>
        <v>23.146085521777728</v>
      </c>
      <c r="E101" s="56">
        <f t="shared" si="13"/>
        <v>0</v>
      </c>
      <c r="F101" s="175">
        <f t="shared" si="14"/>
        <v>10.441497153242686</v>
      </c>
      <c r="G101" s="655">
        <f t="shared" si="9"/>
        <v>10.643795653340874</v>
      </c>
      <c r="H101" s="656">
        <f t="shared" si="15"/>
        <v>-0.20229850009818762</v>
      </c>
    </row>
    <row r="102" spans="1:8" x14ac:dyDescent="0.25">
      <c r="A102" s="54">
        <f t="shared" si="16"/>
        <v>148</v>
      </c>
      <c r="B102" s="55">
        <f t="shared" si="10"/>
        <v>-39982308.403133087</v>
      </c>
      <c r="C102" s="56">
        <f t="shared" si="11"/>
        <v>39982295.698544718</v>
      </c>
      <c r="D102" s="56">
        <f t="shared" si="12"/>
        <v>24.146085521777728</v>
      </c>
      <c r="E102" s="56">
        <f t="shared" si="13"/>
        <v>0</v>
      </c>
      <c r="F102" s="175">
        <f t="shared" si="14"/>
        <v>11.441497153242686</v>
      </c>
      <c r="G102" s="655">
        <f t="shared" si="9"/>
        <v>11.643795653340874</v>
      </c>
      <c r="H102" s="656">
        <f t="shared" si="15"/>
        <v>-0.20229850009818762</v>
      </c>
    </row>
    <row r="103" spans="1:8" x14ac:dyDescent="0.25">
      <c r="A103" s="54">
        <f t="shared" si="16"/>
        <v>149</v>
      </c>
      <c r="B103" s="55">
        <f t="shared" si="10"/>
        <v>-41638158.402607501</v>
      </c>
      <c r="C103" s="56">
        <f t="shared" si="11"/>
        <v>41638145.698019132</v>
      </c>
      <c r="D103" s="56">
        <f t="shared" si="12"/>
        <v>25.146085521777728</v>
      </c>
      <c r="E103" s="56">
        <f t="shared" si="13"/>
        <v>0</v>
      </c>
      <c r="F103" s="175">
        <f t="shared" si="14"/>
        <v>12.441497153242686</v>
      </c>
      <c r="G103" s="655">
        <f t="shared" si="9"/>
        <v>12.643795653340874</v>
      </c>
      <c r="H103" s="656">
        <f t="shared" si="15"/>
        <v>-0.20229850009818762</v>
      </c>
    </row>
    <row r="104" spans="1:8" x14ac:dyDescent="0.25">
      <c r="A104" s="54">
        <f t="shared" si="16"/>
        <v>150</v>
      </c>
      <c r="B104" s="65">
        <f t="shared" si="10"/>
        <v>-43294008.402081907</v>
      </c>
      <c r="C104" s="58">
        <f t="shared" si="11"/>
        <v>43293995.697493538</v>
      </c>
      <c r="D104" s="58">
        <f t="shared" si="12"/>
        <v>26.146085521777728</v>
      </c>
      <c r="E104" s="58">
        <f t="shared" si="13"/>
        <v>0</v>
      </c>
      <c r="F104" s="176">
        <f t="shared" si="14"/>
        <v>13.441497153242686</v>
      </c>
      <c r="G104" s="655">
        <f t="shared" si="9"/>
        <v>13.643795653340874</v>
      </c>
      <c r="H104" s="656">
        <f t="shared" si="15"/>
        <v>-0.20229850009818762</v>
      </c>
    </row>
    <row r="105" spans="1:8" x14ac:dyDescent="0.25">
      <c r="A105" s="54"/>
    </row>
    <row r="106" spans="1:8" x14ac:dyDescent="0.25">
      <c r="A106" s="54"/>
    </row>
    <row r="107" spans="1:8" x14ac:dyDescent="0.25">
      <c r="A107" s="54"/>
    </row>
    <row r="108" spans="1:8" x14ac:dyDescent="0.25">
      <c r="A108" s="54"/>
    </row>
    <row r="109" spans="1:8" x14ac:dyDescent="0.25">
      <c r="A109" s="54"/>
    </row>
    <row r="110" spans="1:8" x14ac:dyDescent="0.25">
      <c r="A110" s="54"/>
    </row>
    <row r="111" spans="1:8" x14ac:dyDescent="0.25">
      <c r="A111" s="54"/>
    </row>
    <row r="112" spans="1:8"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9">
    <mergeCell ref="I16:J16"/>
    <mergeCell ref="I17:J17"/>
    <mergeCell ref="I18:J18"/>
    <mergeCell ref="G1:G3"/>
    <mergeCell ref="H1:H3"/>
    <mergeCell ref="I2:I10"/>
    <mergeCell ref="K9:N9"/>
    <mergeCell ref="K10:N10"/>
    <mergeCell ref="A1:A2"/>
    <mergeCell ref="B1:B2"/>
    <mergeCell ref="C1:C2"/>
    <mergeCell ref="D1:D2"/>
    <mergeCell ref="E1:E2"/>
    <mergeCell ref="F1:F3"/>
    <mergeCell ref="K2:N2"/>
    <mergeCell ref="B3:E3"/>
    <mergeCell ref="K6:N6"/>
    <mergeCell ref="K7:N7"/>
    <mergeCell ref="K8:N8"/>
  </mergeCells>
  <pageMargins left="0.75" right="0.75" top="1" bottom="1" header="0.5" footer="0.5"/>
  <pageSetup orientation="portrait" r:id="rId1"/>
  <headerFooter alignWithMargins="0"/>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3743-15C6-4A77-966B-F5EE923F129F}">
  <dimension ref="A1:T21"/>
  <sheetViews>
    <sheetView topLeftCell="B1" workbookViewId="0">
      <selection activeCell="G30" sqref="G30"/>
    </sheetView>
  </sheetViews>
  <sheetFormatPr baseColWidth="10" defaultColWidth="9.21875" defaultRowHeight="13.2" x14ac:dyDescent="0.25"/>
  <cols>
    <col min="1" max="1" width="10.77734375" style="68" customWidth="1"/>
    <col min="2" max="5" width="9.21875" style="68"/>
    <col min="6" max="6" width="11.77734375" style="68" bestFit="1" customWidth="1"/>
    <col min="7" max="16384" width="9.21875" style="68"/>
  </cols>
  <sheetData>
    <row r="1" spans="1:18" x14ac:dyDescent="0.25">
      <c r="A1" s="70" t="s">
        <v>218</v>
      </c>
      <c r="B1" s="177">
        <v>20</v>
      </c>
      <c r="E1" s="785" t="s">
        <v>222</v>
      </c>
      <c r="F1" s="510" t="s">
        <v>217</v>
      </c>
      <c r="G1" s="61">
        <v>2</v>
      </c>
      <c r="H1" s="42"/>
      <c r="I1" s="788" t="s">
        <v>222</v>
      </c>
      <c r="J1" s="511" t="s">
        <v>217</v>
      </c>
      <c r="K1" s="512">
        <v>3</v>
      </c>
      <c r="N1" s="791" t="s">
        <v>222</v>
      </c>
      <c r="O1" s="513" t="s">
        <v>217</v>
      </c>
      <c r="P1" s="514">
        <v>4</v>
      </c>
    </row>
    <row r="2" spans="1:18" x14ac:dyDescent="0.25">
      <c r="A2" s="80" t="s">
        <v>225</v>
      </c>
      <c r="B2" s="515">
        <v>0.3</v>
      </c>
      <c r="E2" s="786"/>
      <c r="F2" s="510" t="s">
        <v>223</v>
      </c>
      <c r="G2" s="210">
        <f>B5/G1</f>
        <v>0.125</v>
      </c>
      <c r="H2" s="42"/>
      <c r="I2" s="789"/>
      <c r="J2" s="511" t="s">
        <v>223</v>
      </c>
      <c r="K2" s="395">
        <f>B5/K1</f>
        <v>8.3333333333333329E-2</v>
      </c>
      <c r="N2" s="792"/>
      <c r="O2" s="513" t="s">
        <v>223</v>
      </c>
      <c r="P2" s="516">
        <f>B5/P1</f>
        <v>6.25E-2</v>
      </c>
    </row>
    <row r="3" spans="1:18" x14ac:dyDescent="0.25">
      <c r="A3" s="80" t="s">
        <v>227</v>
      </c>
      <c r="B3" s="515">
        <v>0.12</v>
      </c>
      <c r="E3" s="786"/>
      <c r="F3" s="510" t="s">
        <v>224</v>
      </c>
      <c r="G3" s="210">
        <f>EXP(B2*SQRT(G2))</f>
        <v>1.1118952782720986</v>
      </c>
      <c r="H3" s="42"/>
      <c r="I3" s="789"/>
      <c r="J3" s="511" t="s">
        <v>224</v>
      </c>
      <c r="K3" s="395">
        <f>EXP(B2*SQRT(K2))</f>
        <v>1.0904631784921235</v>
      </c>
      <c r="N3" s="792"/>
      <c r="O3" s="513" t="s">
        <v>224</v>
      </c>
      <c r="P3" s="516">
        <f>EXP(B2*SQRT(P2))</f>
        <v>1.0778841508846315</v>
      </c>
    </row>
    <row r="4" spans="1:18" x14ac:dyDescent="0.25">
      <c r="A4" s="80" t="s">
        <v>582</v>
      </c>
      <c r="B4" s="515">
        <v>0.03</v>
      </c>
      <c r="E4" s="786"/>
      <c r="F4" s="510" t="s">
        <v>226</v>
      </c>
      <c r="G4" s="210">
        <f>1/G3</f>
        <v>0.89936527255877419</v>
      </c>
      <c r="I4" s="789"/>
      <c r="J4" s="511" t="s">
        <v>226</v>
      </c>
      <c r="K4" s="395">
        <f>1/K3</f>
        <v>0.91704151017990843</v>
      </c>
      <c r="N4" s="792"/>
      <c r="O4" s="513" t="s">
        <v>226</v>
      </c>
      <c r="P4" s="516">
        <f>1/P3</f>
        <v>0.92774348632855286</v>
      </c>
    </row>
    <row r="5" spans="1:18" ht="13.8" thickBot="1" x14ac:dyDescent="0.3">
      <c r="A5" s="80" t="s">
        <v>148</v>
      </c>
      <c r="B5" s="140">
        <v>0.25</v>
      </c>
      <c r="E5" s="787"/>
      <c r="F5" s="510" t="s">
        <v>228</v>
      </c>
      <c r="G5" s="210">
        <f>(EXP((B3-B4)*G2)-G4)/(G3-G4)</f>
        <v>0.52674090083938985</v>
      </c>
      <c r="I5" s="790"/>
      <c r="J5" s="511" t="s">
        <v>228</v>
      </c>
      <c r="K5" s="395">
        <f>(EXP((B3-B4)*K2)-K4)/(K3-K4)</f>
        <v>0.52177266050583804</v>
      </c>
      <c r="N5" s="793"/>
      <c r="O5" s="513" t="s">
        <v>228</v>
      </c>
      <c r="P5" s="516">
        <f>(EXP((B3-B4)*P2)-P4)/(P3-P4)</f>
        <v>0.51882921871375154</v>
      </c>
    </row>
    <row r="6" spans="1:18" x14ac:dyDescent="0.25">
      <c r="A6" s="80"/>
      <c r="B6" s="140"/>
    </row>
    <row r="7" spans="1:18" x14ac:dyDescent="0.25">
      <c r="A7" s="83"/>
      <c r="B7" s="179"/>
      <c r="E7" s="69">
        <v>0</v>
      </c>
      <c r="F7" s="69">
        <v>0.125</v>
      </c>
      <c r="G7" s="69">
        <v>0.25</v>
      </c>
      <c r="I7" s="69">
        <v>0</v>
      </c>
      <c r="J7" s="69">
        <f>L7/3</f>
        <v>8.3333333333333329E-2</v>
      </c>
      <c r="K7" s="69">
        <f>J7+J7</f>
        <v>0.16666666666666666</v>
      </c>
      <c r="L7" s="69">
        <v>0.25</v>
      </c>
      <c r="N7" s="69">
        <v>0</v>
      </c>
      <c r="O7" s="69">
        <f>R7/4</f>
        <v>6.25E-2</v>
      </c>
      <c r="P7" s="69">
        <f>$O$7+O7</f>
        <v>0.125</v>
      </c>
      <c r="Q7" s="69">
        <f>$O$7+P7</f>
        <v>0.1875</v>
      </c>
      <c r="R7" s="69">
        <v>0.25</v>
      </c>
    </row>
    <row r="8" spans="1:18" ht="13.8" thickBot="1" x14ac:dyDescent="0.3">
      <c r="E8" s="517">
        <v>0</v>
      </c>
      <c r="F8" s="518" t="s">
        <v>223</v>
      </c>
      <c r="G8" s="519" t="s">
        <v>229</v>
      </c>
      <c r="I8" s="520">
        <v>0</v>
      </c>
      <c r="J8" s="521" t="s">
        <v>223</v>
      </c>
      <c r="K8" s="521" t="s">
        <v>229</v>
      </c>
      <c r="L8" s="522" t="s">
        <v>230</v>
      </c>
      <c r="N8" s="523">
        <v>0</v>
      </c>
      <c r="O8" s="524" t="s">
        <v>223</v>
      </c>
      <c r="P8" s="524" t="s">
        <v>229</v>
      </c>
      <c r="Q8" s="525" t="s">
        <v>230</v>
      </c>
      <c r="R8" s="525" t="s">
        <v>231</v>
      </c>
    </row>
    <row r="9" spans="1:18" x14ac:dyDescent="0.25">
      <c r="E9" s="526"/>
      <c r="F9" s="527"/>
      <c r="G9" s="528">
        <f>F10*$G$3</f>
        <v>24.726222196875749</v>
      </c>
      <c r="I9" s="529"/>
      <c r="J9" s="530"/>
      <c r="K9" s="530"/>
      <c r="L9" s="531">
        <f>K10*$K$3</f>
        <v>25.933612174521109</v>
      </c>
      <c r="N9" s="532"/>
      <c r="O9" s="533"/>
      <c r="P9" s="533"/>
      <c r="Q9" s="533"/>
      <c r="R9" s="534">
        <f>Q10*$P$3</f>
        <v>26.997176151520062</v>
      </c>
    </row>
    <row r="10" spans="1:18" x14ac:dyDescent="0.25">
      <c r="E10" s="535"/>
      <c r="F10" s="536">
        <f>E11*$G$3</f>
        <v>22.23790556544197</v>
      </c>
      <c r="G10" s="537"/>
      <c r="I10" s="538"/>
      <c r="J10" s="539"/>
      <c r="K10" s="539">
        <f>J11*$K$3</f>
        <v>23.782198872942896</v>
      </c>
      <c r="L10" s="540"/>
      <c r="N10" s="541"/>
      <c r="O10" s="542"/>
      <c r="P10" s="542"/>
      <c r="Q10" s="542">
        <f>P11*$P$3</f>
        <v>25.046454323837288</v>
      </c>
      <c r="R10" s="543"/>
    </row>
    <row r="11" spans="1:18" x14ac:dyDescent="0.25">
      <c r="E11" s="535">
        <f>B1</f>
        <v>20</v>
      </c>
      <c r="F11" s="536"/>
      <c r="G11" s="537">
        <f>F10*$G$4</f>
        <v>20</v>
      </c>
      <c r="I11" s="538"/>
      <c r="J11" s="539">
        <f>I12*$K$3</f>
        <v>21.809263569842471</v>
      </c>
      <c r="K11" s="539"/>
      <c r="L11" s="540">
        <f>K12*$K$3</f>
        <v>21.809263569842471</v>
      </c>
      <c r="N11" s="541"/>
      <c r="O11" s="542"/>
      <c r="P11" s="542">
        <f>O12*$P$3</f>
        <v>23.236684854565663</v>
      </c>
      <c r="Q11" s="542"/>
      <c r="R11" s="544">
        <f>Q12*$P$3</f>
        <v>23.236684854565656</v>
      </c>
    </row>
    <row r="12" spans="1:18" x14ac:dyDescent="0.25">
      <c r="E12" s="535"/>
      <c r="F12" s="536">
        <f>E11*$G$4</f>
        <v>17.987305451175484</v>
      </c>
      <c r="G12" s="537"/>
      <c r="I12" s="538">
        <f>B1</f>
        <v>20</v>
      </c>
      <c r="J12" s="539"/>
      <c r="K12" s="539">
        <f>J13*$K$3</f>
        <v>20</v>
      </c>
      <c r="L12" s="540"/>
      <c r="N12" s="541"/>
      <c r="O12" s="542">
        <f>N13*$P$3</f>
        <v>21.557683017692632</v>
      </c>
      <c r="P12" s="542"/>
      <c r="Q12" s="542">
        <f>P13*$P$3</f>
        <v>21.557683017692625</v>
      </c>
      <c r="R12" s="543"/>
    </row>
    <row r="13" spans="1:18" ht="13.8" thickBot="1" x14ac:dyDescent="0.3">
      <c r="E13" s="545"/>
      <c r="F13" s="546"/>
      <c r="G13" s="547">
        <f>F12*$G$4</f>
        <v>16.177157869694362</v>
      </c>
      <c r="I13" s="538"/>
      <c r="J13" s="539">
        <f>I12*$K$4</f>
        <v>18.34083020359817</v>
      </c>
      <c r="K13" s="539"/>
      <c r="L13" s="540">
        <f>K14*$K$3</f>
        <v>18.34083020359817</v>
      </c>
      <c r="N13" s="541">
        <f>B1</f>
        <v>20</v>
      </c>
      <c r="O13" s="542"/>
      <c r="P13" s="542">
        <f>O14*$P$3</f>
        <v>19.999999999999996</v>
      </c>
      <c r="Q13" s="542"/>
      <c r="R13" s="544">
        <f>Q14*$P$3</f>
        <v>19.999999999999993</v>
      </c>
    </row>
    <row r="14" spans="1:18" x14ac:dyDescent="0.25">
      <c r="E14" s="180"/>
      <c r="I14" s="538"/>
      <c r="J14" s="539"/>
      <c r="K14" s="539">
        <f>J13*$K$4</f>
        <v>16.819302627860942</v>
      </c>
      <c r="L14" s="540"/>
      <c r="N14" s="541"/>
      <c r="O14" s="542">
        <f>N13*$P$4</f>
        <v>18.554869726571056</v>
      </c>
      <c r="P14" s="542"/>
      <c r="Q14" s="542">
        <f>P15*$P$3</f>
        <v>18.554869726571052</v>
      </c>
      <c r="R14" s="543"/>
    </row>
    <row r="15" spans="1:18" ht="13.8" thickBot="1" x14ac:dyDescent="0.3">
      <c r="G15" s="180"/>
      <c r="I15" s="548"/>
      <c r="J15" s="549"/>
      <c r="K15" s="549"/>
      <c r="L15" s="550">
        <f>K14*$K$4</f>
        <v>15.4239986820265</v>
      </c>
      <c r="N15" s="541"/>
      <c r="O15" s="542"/>
      <c r="P15" s="542">
        <f>O14*$P$4</f>
        <v>17.214159528501153</v>
      </c>
      <c r="Q15" s="542"/>
      <c r="R15" s="544">
        <f>Q16*$P$3</f>
        <v>17.214159528501153</v>
      </c>
    </row>
    <row r="16" spans="1:18" x14ac:dyDescent="0.25">
      <c r="N16" s="541"/>
      <c r="O16" s="542"/>
      <c r="P16" s="542"/>
      <c r="Q16" s="542">
        <f>P15*$P$4</f>
        <v>15.970324375187538</v>
      </c>
      <c r="R16" s="543"/>
    </row>
    <row r="17" spans="14:20" ht="13.8" thickBot="1" x14ac:dyDescent="0.3">
      <c r="N17" s="551"/>
      <c r="O17" s="552"/>
      <c r="P17" s="553"/>
      <c r="Q17" s="552"/>
      <c r="R17" s="554">
        <f>Q16*$P$4</f>
        <v>14.816364413634354</v>
      </c>
    </row>
    <row r="19" spans="14:20" x14ac:dyDescent="0.25">
      <c r="R19" s="180"/>
    </row>
    <row r="21" spans="14:20" x14ac:dyDescent="0.25">
      <c r="T21" s="180"/>
    </row>
  </sheetData>
  <mergeCells count="3">
    <mergeCell ref="E1:E5"/>
    <mergeCell ref="I1:I5"/>
    <mergeCell ref="N1:N5"/>
  </mergeCells>
  <pageMargins left="0.75" right="0.75" top="1" bottom="1" header="0.5" footer="0.5"/>
  <pageSetup orientation="portrait" r:id="rId1"/>
  <headerFooter alignWithMargins="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D5B9-F197-42A6-BA89-AC06DCFF91B3}">
  <dimension ref="A1:O33"/>
  <sheetViews>
    <sheetView topLeftCell="A9" workbookViewId="0">
      <selection activeCell="I26" sqref="I26"/>
    </sheetView>
  </sheetViews>
  <sheetFormatPr baseColWidth="10" defaultColWidth="8.77734375" defaultRowHeight="13.2" x14ac:dyDescent="0.25"/>
  <cols>
    <col min="1" max="10" width="8.77734375" style="42"/>
    <col min="11" max="11" width="15.109375" style="42" bestFit="1" customWidth="1"/>
    <col min="12" max="14" width="8.77734375" style="42"/>
    <col min="15" max="15" width="12.44140625" style="42" bestFit="1" customWidth="1"/>
    <col min="16" max="16384" width="8.77734375" style="42"/>
  </cols>
  <sheetData>
    <row r="1" spans="1:15" x14ac:dyDescent="0.25">
      <c r="A1" s="46" t="s">
        <v>218</v>
      </c>
      <c r="B1" s="46">
        <v>50</v>
      </c>
      <c r="F1" s="43" t="s">
        <v>583</v>
      </c>
      <c r="G1" s="43">
        <f>B6/B7</f>
        <v>0.1</v>
      </c>
    </row>
    <row r="2" spans="1:15" x14ac:dyDescent="0.25">
      <c r="A2" s="46" t="s">
        <v>584</v>
      </c>
      <c r="B2" s="46">
        <v>52</v>
      </c>
      <c r="F2" s="43" t="s">
        <v>224</v>
      </c>
      <c r="G2" s="43">
        <f>EXP(B5*SQRT(G1))</f>
        <v>1.0652883920946086</v>
      </c>
      <c r="N2" s="729" t="s">
        <v>585</v>
      </c>
      <c r="O2" s="722"/>
    </row>
    <row r="3" spans="1:15" x14ac:dyDescent="0.25">
      <c r="A3" s="46" t="s">
        <v>219</v>
      </c>
      <c r="B3" s="555">
        <v>0.1</v>
      </c>
      <c r="F3" s="43" t="s">
        <v>226</v>
      </c>
      <c r="G3" s="43">
        <f>1/G2</f>
        <v>0.93871294141651518</v>
      </c>
      <c r="N3" s="52" t="s">
        <v>108</v>
      </c>
      <c r="O3" s="47">
        <f>(LN(B1/B2)+((B3-B4+(0.5*B5*B5))*B6))/(B5*SQRT(B6))</f>
        <v>5.5103901380430314E-3</v>
      </c>
    </row>
    <row r="4" spans="1:15" x14ac:dyDescent="0.25">
      <c r="A4" s="46" t="s">
        <v>221</v>
      </c>
      <c r="B4" s="555">
        <v>0.04</v>
      </c>
      <c r="F4" s="43" t="s">
        <v>228</v>
      </c>
      <c r="G4" s="43">
        <f>(EXP((B3-B4)*G1)-G3)/(G2-G3)</f>
        <v>0.53173892944469947</v>
      </c>
      <c r="N4" s="55" t="s">
        <v>109</v>
      </c>
      <c r="O4" s="60">
        <f>O3-(B5*SQRT(B6))</f>
        <v>-0.13591096609926651</v>
      </c>
    </row>
    <row r="5" spans="1:15" x14ac:dyDescent="0.25">
      <c r="A5" s="46" t="s">
        <v>225</v>
      </c>
      <c r="B5" s="555">
        <v>0.2</v>
      </c>
      <c r="F5" s="43" t="s">
        <v>586</v>
      </c>
      <c r="G5" s="509">
        <f>E28</f>
        <v>3.0255303008467811</v>
      </c>
      <c r="N5" s="46" t="s">
        <v>220</v>
      </c>
      <c r="O5" s="509">
        <f>(-B1*EXP(-B4*B6)*NORMSDIST(-O3))+(B2*EXP(-B3*B6)*NORMSDIST(-O4))</f>
        <v>3.0084690804057779</v>
      </c>
    </row>
    <row r="6" spans="1:15" x14ac:dyDescent="0.25">
      <c r="A6" s="46" t="s">
        <v>587</v>
      </c>
      <c r="B6" s="46">
        <v>0.5</v>
      </c>
    </row>
    <row r="7" spans="1:15" x14ac:dyDescent="0.25">
      <c r="A7" s="46" t="s">
        <v>239</v>
      </c>
      <c r="B7" s="46">
        <v>5</v>
      </c>
    </row>
    <row r="8" spans="1:15" x14ac:dyDescent="0.25">
      <c r="F8" s="43" t="s">
        <v>588</v>
      </c>
      <c r="G8" s="43" t="s">
        <v>589</v>
      </c>
      <c r="H8" s="43" t="s">
        <v>590</v>
      </c>
      <c r="I8" s="43" t="s">
        <v>591</v>
      </c>
      <c r="J8" s="43" t="s">
        <v>592</v>
      </c>
    </row>
    <row r="9" spans="1:15" x14ac:dyDescent="0.25">
      <c r="D9" s="43" t="s">
        <v>240</v>
      </c>
      <c r="E9" s="46">
        <v>0</v>
      </c>
      <c r="F9" s="46">
        <f>E9+0.1</f>
        <v>0.1</v>
      </c>
      <c r="G9" s="46">
        <f t="shared" ref="G9:J9" si="0">F9+0.1</f>
        <v>0.2</v>
      </c>
      <c r="H9" s="46">
        <f t="shared" si="0"/>
        <v>0.30000000000000004</v>
      </c>
      <c r="I9" s="46">
        <f t="shared" si="0"/>
        <v>0.4</v>
      </c>
      <c r="J9" s="46">
        <f t="shared" si="0"/>
        <v>0.5</v>
      </c>
    </row>
    <row r="10" spans="1:15" x14ac:dyDescent="0.25">
      <c r="E10" s="46"/>
      <c r="F10" s="46"/>
      <c r="G10" s="46"/>
      <c r="H10" s="46"/>
      <c r="I10" s="46"/>
      <c r="J10" s="190">
        <f>I11*$G$2</f>
        <v>68.597135098345959</v>
      </c>
      <c r="K10" s="723" t="s">
        <v>593</v>
      </c>
    </row>
    <row r="11" spans="1:15" x14ac:dyDescent="0.25">
      <c r="E11" s="46"/>
      <c r="F11" s="46"/>
      <c r="G11" s="46"/>
      <c r="H11" s="46"/>
      <c r="I11" s="46">
        <f>H12*$G$2</f>
        <v>64.393018460914405</v>
      </c>
      <c r="J11" s="190"/>
      <c r="K11" s="723"/>
    </row>
    <row r="12" spans="1:15" x14ac:dyDescent="0.25">
      <c r="E12" s="46"/>
      <c r="F12" s="46"/>
      <c r="G12" s="46"/>
      <c r="H12" s="46">
        <f>G13*$G$2</f>
        <v>60.446559766132928</v>
      </c>
      <c r="I12" s="46"/>
      <c r="J12" s="190">
        <f>I13*$G$2</f>
        <v>60.446559766132928</v>
      </c>
      <c r="K12" s="723"/>
    </row>
    <row r="13" spans="1:15" x14ac:dyDescent="0.25">
      <c r="E13" s="46"/>
      <c r="F13" s="46"/>
      <c r="G13" s="46">
        <f>F14*$G$2</f>
        <v>56.741967916575824</v>
      </c>
      <c r="H13" s="46"/>
      <c r="I13" s="46">
        <f>H14*$G$2</f>
        <v>56.741967916575824</v>
      </c>
      <c r="J13" s="190"/>
      <c r="K13" s="723"/>
    </row>
    <row r="14" spans="1:15" x14ac:dyDescent="0.25">
      <c r="E14" s="46"/>
      <c r="F14" s="46">
        <f>E15*$G$2</f>
        <v>53.264419604730428</v>
      </c>
      <c r="G14" s="46"/>
      <c r="H14" s="46">
        <f>G15*$G$2</f>
        <v>53.264419604730428</v>
      </c>
      <c r="I14" s="46"/>
      <c r="J14" s="190">
        <f>I15*$G$2</f>
        <v>53.264419604730421</v>
      </c>
      <c r="K14" s="723"/>
    </row>
    <row r="15" spans="1:15" x14ac:dyDescent="0.25">
      <c r="E15" s="46">
        <f>B1</f>
        <v>50</v>
      </c>
      <c r="F15" s="46"/>
      <c r="G15" s="46">
        <f>F16*$G$2</f>
        <v>50</v>
      </c>
      <c r="H15" s="46"/>
      <c r="I15" s="46">
        <f>H16*$G$2</f>
        <v>49.999999999999993</v>
      </c>
      <c r="J15" s="190"/>
      <c r="K15" s="723"/>
    </row>
    <row r="16" spans="1:15" x14ac:dyDescent="0.25">
      <c r="E16" s="46"/>
      <c r="F16" s="46">
        <f>E15*$G$3</f>
        <v>46.935647070825759</v>
      </c>
      <c r="G16" s="46"/>
      <c r="H16" s="46">
        <f>G17*$G$2</f>
        <v>46.935647070825752</v>
      </c>
      <c r="I16" s="46"/>
      <c r="J16" s="190">
        <f>I17*$G$2</f>
        <v>46.935647070825752</v>
      </c>
      <c r="K16" s="723"/>
    </row>
    <row r="17" spans="3:11" x14ac:dyDescent="0.25">
      <c r="E17" s="46"/>
      <c r="F17" s="46"/>
      <c r="G17" s="46">
        <f>F16*$G$3</f>
        <v>44.059099319142291</v>
      </c>
      <c r="H17" s="46"/>
      <c r="I17" s="46">
        <f>H18*$G$2</f>
        <v>44.059099319142291</v>
      </c>
      <c r="J17" s="190"/>
      <c r="K17" s="723"/>
    </row>
    <row r="18" spans="3:11" x14ac:dyDescent="0.25">
      <c r="E18" s="46"/>
      <c r="F18" s="46"/>
      <c r="G18" s="46"/>
      <c r="H18" s="46">
        <f>G17*$G$3</f>
        <v>41.358846718034442</v>
      </c>
      <c r="I18" s="46"/>
      <c r="J18" s="190">
        <f>I19*$G$2</f>
        <v>41.358846718034442</v>
      </c>
      <c r="K18" s="723"/>
    </row>
    <row r="19" spans="3:11" x14ac:dyDescent="0.25">
      <c r="I19" s="46">
        <f>H18*$G$3</f>
        <v>38.824084656280895</v>
      </c>
      <c r="K19" s="723"/>
    </row>
    <row r="20" spans="3:11" x14ac:dyDescent="0.25">
      <c r="J20" s="190">
        <f>I19*$G$3</f>
        <v>36.444670705501231</v>
      </c>
      <c r="K20" s="723"/>
    </row>
    <row r="22" spans="3:11" x14ac:dyDescent="0.25">
      <c r="E22" s="46" t="s">
        <v>594</v>
      </c>
      <c r="F22" s="46" t="s">
        <v>595</v>
      </c>
      <c r="G22" s="46" t="s">
        <v>596</v>
      </c>
      <c r="H22" s="46" t="s">
        <v>597</v>
      </c>
      <c r="I22" s="46" t="s">
        <v>598</v>
      </c>
      <c r="J22" s="46" t="s">
        <v>599</v>
      </c>
    </row>
    <row r="23" spans="3:11" x14ac:dyDescent="0.25">
      <c r="E23" s="43"/>
      <c r="F23" s="556"/>
      <c r="G23" s="557"/>
      <c r="H23" s="558"/>
      <c r="I23" s="559"/>
      <c r="J23" s="560">
        <f>MAX($B$2-J10,0)</f>
        <v>0</v>
      </c>
      <c r="K23" s="723" t="s">
        <v>600</v>
      </c>
    </row>
    <row r="24" spans="3:11" x14ac:dyDescent="0.25">
      <c r="E24" s="43"/>
      <c r="F24" s="556"/>
      <c r="G24" s="557"/>
      <c r="H24" s="558"/>
      <c r="I24" s="559">
        <f>(($G$4*J23)+((1-$G$4)*J25))*EXP(-$B$3*$G$1)</f>
        <v>0</v>
      </c>
      <c r="J24" s="560"/>
      <c r="K24" s="723"/>
    </row>
    <row r="25" spans="3:11" x14ac:dyDescent="0.25">
      <c r="C25" s="305"/>
      <c r="E25" s="43"/>
      <c r="F25" s="556"/>
      <c r="G25" s="557"/>
      <c r="H25" s="558">
        <f>(($G$4*I24)+((1-$G$4)*I26))*EXP(-$B$3*$G$1)</f>
        <v>0</v>
      </c>
      <c r="I25" s="559"/>
      <c r="J25" s="560">
        <f>MAX($B$2-J12,0)</f>
        <v>0</v>
      </c>
      <c r="K25" s="723"/>
    </row>
    <row r="26" spans="3:11" x14ac:dyDescent="0.25">
      <c r="E26" s="43"/>
      <c r="F26" s="556"/>
      <c r="G26" s="557">
        <f>(($G$4*H25)+((1-$G$4)*H27))*EXP(-$B$3*$G$1)</f>
        <v>0.50461399393316408</v>
      </c>
      <c r="H26" s="558"/>
      <c r="I26" s="559">
        <f>(($G$4*J25)+((1-$G$4)*J27))*EXP(-$B$3*$G$1)</f>
        <v>0</v>
      </c>
      <c r="J26" s="560"/>
      <c r="K26" s="723"/>
    </row>
    <row r="27" spans="3:11" x14ac:dyDescent="0.25">
      <c r="E27" s="43"/>
      <c r="F27" s="556">
        <f>(($G$4*G26)+((1-$G$4)*G28))*EXP(-$B$3*$G$1)</f>
        <v>1.5541638128318929</v>
      </c>
      <c r="G27" s="557"/>
      <c r="H27" s="558">
        <f>(($G$4*I26)+((1-$G$4)*I28))*EXP(-$B$3*$G$1)</f>
        <v>1.0884642797249342</v>
      </c>
      <c r="I27" s="559"/>
      <c r="J27" s="560">
        <f>MAX($B$2-J14,0)</f>
        <v>0</v>
      </c>
      <c r="K27" s="723"/>
    </row>
    <row r="28" spans="3:11" x14ac:dyDescent="0.25">
      <c r="E28" s="43">
        <f>(($G$4*F27)+((1-$G$4)*F29))*EXP(-$B$3*$G$1)</f>
        <v>3.0255303008467811</v>
      </c>
      <c r="F28" s="556"/>
      <c r="G28" s="557">
        <f>(($G$4*H27)+((1-$G$4)*H29))*EXP(-$B$3*$G$1)</f>
        <v>2.7793480939314748</v>
      </c>
      <c r="H28" s="558"/>
      <c r="I28" s="559">
        <f>(($G$4*J27)+((1-$G$4)*J29))*EXP(-$B$3*$G$1)</f>
        <v>2.3478431087546094</v>
      </c>
      <c r="J28" s="560"/>
      <c r="K28" s="723"/>
    </row>
    <row r="29" spans="3:11" x14ac:dyDescent="0.25">
      <c r="E29" s="43"/>
      <c r="F29" s="556">
        <f>(($G$4*G28)+((1-$G$4)*G30))*EXP(-$B$3*$G$1)</f>
        <v>4.7612926294035791</v>
      </c>
      <c r="G29" s="557"/>
      <c r="H29" s="558">
        <f>(($G$4*I28)+((1-$G$4)*I30))*EXP(-$B$3*$G$1)</f>
        <v>4.7591019539123458</v>
      </c>
      <c r="I29" s="559"/>
      <c r="J29" s="560">
        <f>MAX($B$2-J16,0)</f>
        <v>5.0643529291742482</v>
      </c>
      <c r="K29" s="723"/>
    </row>
    <row r="30" spans="3:11" x14ac:dyDescent="0.25">
      <c r="E30" s="43"/>
      <c r="F30" s="556"/>
      <c r="G30" s="557">
        <f>(($G$4*H29)+((1-$G$4)*H31))*EXP(-$B$3*$G$1)</f>
        <v>7.1141016098005956</v>
      </c>
      <c r="H30" s="558"/>
      <c r="I30" s="559">
        <f>(($G$4*J29)+((1-$G$4)*J31))*EXP(-$B$3*$G$1)</f>
        <v>7.5993764297906008</v>
      </c>
      <c r="J30" s="560"/>
      <c r="K30" s="723"/>
    </row>
    <row r="31" spans="3:11" x14ac:dyDescent="0.25">
      <c r="E31" s="43"/>
      <c r="F31" s="556"/>
      <c r="G31" s="557"/>
      <c r="H31" s="558">
        <f>(($G$4*I30)+((1-$G$4)*I32))*EXP(-$B$3*$G$1)</f>
        <v>9.9410351068070852</v>
      </c>
      <c r="I31" s="559"/>
      <c r="J31" s="560">
        <f>MAX($B$2-J18,0)</f>
        <v>10.641153281965558</v>
      </c>
      <c r="K31" s="723"/>
    </row>
    <row r="32" spans="3:11" x14ac:dyDescent="0.25">
      <c r="E32" s="43"/>
      <c r="F32" s="556"/>
      <c r="G32" s="557"/>
      <c r="H32" s="558"/>
      <c r="I32" s="559">
        <f>(($G$4*J31)+((1-$G$4)*J33))*EXP(-$B$3*$G$1)</f>
        <v>12.813492858333491</v>
      </c>
      <c r="J32" s="304"/>
      <c r="K32" s="723"/>
    </row>
    <row r="33" spans="5:11" x14ac:dyDescent="0.25">
      <c r="E33" s="43"/>
      <c r="F33" s="556"/>
      <c r="G33" s="557"/>
      <c r="H33" s="558"/>
      <c r="I33" s="561"/>
      <c r="J33" s="560">
        <f>MAX($B$2-J20,0)</f>
        <v>15.555329294498769</v>
      </c>
      <c r="K33" s="723"/>
    </row>
  </sheetData>
  <mergeCells count="3">
    <mergeCell ref="N2:O2"/>
    <mergeCell ref="K10:K20"/>
    <mergeCell ref="K23:K33"/>
  </mergeCells>
  <pageMargins left="0.7" right="0.7" top="0.75" bottom="0.75" header="0.3" footer="0.3"/>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F7FC-2FAF-4D2F-AE2D-EC0F32EE1287}">
  <dimension ref="A1:K33"/>
  <sheetViews>
    <sheetView workbookViewId="0">
      <selection activeCell="I24" sqref="I24"/>
    </sheetView>
  </sheetViews>
  <sheetFormatPr baseColWidth="10" defaultColWidth="8.77734375" defaultRowHeight="13.2" x14ac:dyDescent="0.25"/>
  <cols>
    <col min="1" max="10" width="8.77734375" style="42"/>
    <col min="11" max="11" width="15.109375" style="42" bestFit="1" customWidth="1"/>
    <col min="12" max="16384" width="8.77734375" style="42"/>
  </cols>
  <sheetData>
    <row r="1" spans="1:11" x14ac:dyDescent="0.25">
      <c r="A1" s="46" t="s">
        <v>218</v>
      </c>
      <c r="B1" s="46">
        <v>50</v>
      </c>
      <c r="F1" s="43" t="s">
        <v>583</v>
      </c>
      <c r="G1" s="43">
        <f>B6/B7</f>
        <v>0.1</v>
      </c>
    </row>
    <row r="2" spans="1:11" x14ac:dyDescent="0.25">
      <c r="A2" s="46" t="s">
        <v>584</v>
      </c>
      <c r="B2" s="46">
        <v>52</v>
      </c>
      <c r="F2" s="43" t="s">
        <v>224</v>
      </c>
      <c r="G2" s="43">
        <f>EXP(B5*SQRT(G1))</f>
        <v>1.0652883920946086</v>
      </c>
    </row>
    <row r="3" spans="1:11" x14ac:dyDescent="0.25">
      <c r="A3" s="46" t="s">
        <v>219</v>
      </c>
      <c r="B3" s="555">
        <v>0.1</v>
      </c>
      <c r="F3" s="43" t="s">
        <v>226</v>
      </c>
      <c r="G3" s="43">
        <f>1/G2</f>
        <v>0.93871294141651518</v>
      </c>
    </row>
    <row r="4" spans="1:11" x14ac:dyDescent="0.25">
      <c r="A4" s="46" t="s">
        <v>221</v>
      </c>
      <c r="B4" s="555">
        <v>0.04</v>
      </c>
      <c r="F4" s="43" t="s">
        <v>228</v>
      </c>
      <c r="G4" s="43">
        <f>(EXP((B3-B4)*G1)-G3)/(G2-G3)</f>
        <v>0.53173892944469947</v>
      </c>
    </row>
    <row r="5" spans="1:11" x14ac:dyDescent="0.25">
      <c r="A5" s="46" t="s">
        <v>225</v>
      </c>
      <c r="B5" s="555">
        <v>0.2</v>
      </c>
      <c r="F5" s="43" t="s">
        <v>586</v>
      </c>
      <c r="G5" s="509">
        <f>E28</f>
        <v>3.2837035622124073</v>
      </c>
    </row>
    <row r="6" spans="1:11" x14ac:dyDescent="0.25">
      <c r="A6" s="46" t="s">
        <v>587</v>
      </c>
      <c r="B6" s="46">
        <v>0.5</v>
      </c>
    </row>
    <row r="7" spans="1:11" x14ac:dyDescent="0.25">
      <c r="A7" s="46" t="s">
        <v>239</v>
      </c>
      <c r="B7" s="46">
        <v>5</v>
      </c>
    </row>
    <row r="8" spans="1:11" x14ac:dyDescent="0.25">
      <c r="F8" s="43" t="s">
        <v>588</v>
      </c>
      <c r="G8" s="43" t="s">
        <v>589</v>
      </c>
      <c r="H8" s="43" t="s">
        <v>590</v>
      </c>
      <c r="I8" s="43" t="s">
        <v>591</v>
      </c>
      <c r="J8" s="43" t="s">
        <v>592</v>
      </c>
    </row>
    <row r="9" spans="1:11" x14ac:dyDescent="0.25">
      <c r="D9" s="43" t="s">
        <v>240</v>
      </c>
      <c r="E9" s="46">
        <v>0</v>
      </c>
      <c r="F9" s="46">
        <f>E9+0.1</f>
        <v>0.1</v>
      </c>
      <c r="G9" s="46">
        <f t="shared" ref="G9:J9" si="0">F9+0.1</f>
        <v>0.2</v>
      </c>
      <c r="H9" s="46">
        <f t="shared" si="0"/>
        <v>0.30000000000000004</v>
      </c>
      <c r="I9" s="46">
        <f t="shared" si="0"/>
        <v>0.4</v>
      </c>
      <c r="J9" s="46">
        <f t="shared" si="0"/>
        <v>0.5</v>
      </c>
    </row>
    <row r="10" spans="1:11" x14ac:dyDescent="0.25">
      <c r="E10" s="46"/>
      <c r="F10" s="46"/>
      <c r="G10" s="46"/>
      <c r="H10" s="46"/>
      <c r="I10" s="46"/>
      <c r="J10" s="190">
        <f>I11*$G$2</f>
        <v>68.597135098345959</v>
      </c>
      <c r="K10" s="723" t="s">
        <v>593</v>
      </c>
    </row>
    <row r="11" spans="1:11" x14ac:dyDescent="0.25">
      <c r="E11" s="46"/>
      <c r="F11" s="46"/>
      <c r="G11" s="46"/>
      <c r="H11" s="46"/>
      <c r="I11" s="46">
        <f>H12*$G$2</f>
        <v>64.393018460914405</v>
      </c>
      <c r="J11" s="190"/>
      <c r="K11" s="723"/>
    </row>
    <row r="12" spans="1:11" x14ac:dyDescent="0.25">
      <c r="E12" s="46"/>
      <c r="F12" s="46"/>
      <c r="G12" s="46"/>
      <c r="H12" s="46">
        <f>G13*$G$2</f>
        <v>60.446559766132928</v>
      </c>
      <c r="I12" s="46"/>
      <c r="J12" s="190">
        <f>I13*$G$2</f>
        <v>60.446559766132928</v>
      </c>
      <c r="K12" s="723"/>
    </row>
    <row r="13" spans="1:11" x14ac:dyDescent="0.25">
      <c r="E13" s="46"/>
      <c r="F13" s="46"/>
      <c r="G13" s="46">
        <f>F14*$G$2</f>
        <v>56.741967916575824</v>
      </c>
      <c r="H13" s="46"/>
      <c r="I13" s="46">
        <f>H14*$G$2</f>
        <v>56.741967916575824</v>
      </c>
      <c r="J13" s="190"/>
      <c r="K13" s="723"/>
    </row>
    <row r="14" spans="1:11" x14ac:dyDescent="0.25">
      <c r="E14" s="46"/>
      <c r="F14" s="46">
        <f>E15*$G$2</f>
        <v>53.264419604730428</v>
      </c>
      <c r="G14" s="46"/>
      <c r="H14" s="46">
        <f>G15*$G$2</f>
        <v>53.264419604730428</v>
      </c>
      <c r="I14" s="46"/>
      <c r="J14" s="190">
        <f>I15*$G$2</f>
        <v>53.264419604730421</v>
      </c>
      <c r="K14" s="723"/>
    </row>
    <row r="15" spans="1:11" x14ac:dyDescent="0.25">
      <c r="E15" s="46">
        <f>B1</f>
        <v>50</v>
      </c>
      <c r="F15" s="46"/>
      <c r="G15" s="46">
        <f>F16*$G$2</f>
        <v>50</v>
      </c>
      <c r="H15" s="46"/>
      <c r="I15" s="46">
        <f>H16*$G$2</f>
        <v>49.999999999999993</v>
      </c>
      <c r="J15" s="190"/>
      <c r="K15" s="723"/>
    </row>
    <row r="16" spans="1:11" x14ac:dyDescent="0.25">
      <c r="E16" s="46"/>
      <c r="F16" s="46">
        <f>E15*$G$3</f>
        <v>46.935647070825759</v>
      </c>
      <c r="G16" s="46"/>
      <c r="H16" s="46">
        <f>G17*$G$2</f>
        <v>46.935647070825752</v>
      </c>
      <c r="I16" s="46"/>
      <c r="J16" s="190">
        <f>I17*$G$2</f>
        <v>46.935647070825752</v>
      </c>
      <c r="K16" s="723"/>
    </row>
    <row r="17" spans="3:11" x14ac:dyDescent="0.25">
      <c r="E17" s="46"/>
      <c r="F17" s="46"/>
      <c r="G17" s="46">
        <f>F16*$G$3</f>
        <v>44.059099319142291</v>
      </c>
      <c r="H17" s="46"/>
      <c r="I17" s="46">
        <f>H18*$G$2</f>
        <v>44.059099319142291</v>
      </c>
      <c r="J17" s="190"/>
      <c r="K17" s="723"/>
    </row>
    <row r="18" spans="3:11" x14ac:dyDescent="0.25">
      <c r="E18" s="46"/>
      <c r="F18" s="46"/>
      <c r="G18" s="46"/>
      <c r="H18" s="46">
        <f>G17*$G$3</f>
        <v>41.358846718034442</v>
      </c>
      <c r="I18" s="46"/>
      <c r="J18" s="190">
        <f>I19*$G$2</f>
        <v>41.358846718034442</v>
      </c>
      <c r="K18" s="723"/>
    </row>
    <row r="19" spans="3:11" x14ac:dyDescent="0.25">
      <c r="I19" s="46">
        <f>H18*$G$3</f>
        <v>38.824084656280895</v>
      </c>
      <c r="K19" s="723"/>
    </row>
    <row r="20" spans="3:11" x14ac:dyDescent="0.25">
      <c r="J20" s="190">
        <f>I19*$G$3</f>
        <v>36.444670705501231</v>
      </c>
      <c r="K20" s="723"/>
    </row>
    <row r="22" spans="3:11" x14ac:dyDescent="0.25">
      <c r="E22" s="46" t="s">
        <v>594</v>
      </c>
      <c r="F22" s="46" t="s">
        <v>595</v>
      </c>
      <c r="G22" s="46" t="s">
        <v>596</v>
      </c>
      <c r="H22" s="46" t="s">
        <v>597</v>
      </c>
      <c r="I22" s="46" t="s">
        <v>598</v>
      </c>
      <c r="J22" s="46" t="s">
        <v>599</v>
      </c>
    </row>
    <row r="23" spans="3:11" x14ac:dyDescent="0.25">
      <c r="E23" s="43"/>
      <c r="F23" s="556"/>
      <c r="G23" s="557"/>
      <c r="H23" s="558"/>
      <c r="I23" s="559"/>
      <c r="J23" s="560">
        <f>MAX($B$2-J10,0)</f>
        <v>0</v>
      </c>
      <c r="K23" s="723" t="s">
        <v>600</v>
      </c>
    </row>
    <row r="24" spans="3:11" x14ac:dyDescent="0.25">
      <c r="E24" s="43"/>
      <c r="F24" s="556"/>
      <c r="G24" s="557"/>
      <c r="H24" s="558"/>
      <c r="I24" s="559">
        <f>MAX($B$2-I11,($G$4*J23)+((1-$G$4)*J25)*EXP(-$B$3*$G$1))</f>
        <v>0</v>
      </c>
      <c r="J24" s="560"/>
      <c r="K24" s="723"/>
    </row>
    <row r="25" spans="3:11" x14ac:dyDescent="0.25">
      <c r="C25" s="305"/>
      <c r="E25" s="43"/>
      <c r="F25" s="556"/>
      <c r="G25" s="557"/>
      <c r="H25" s="562">
        <f>MAX($B$2-H12,($G$4*I24)+((1-$G$4)*I26)*EXP(-$B$3*$G$1))</f>
        <v>0</v>
      </c>
      <c r="I25" s="559"/>
      <c r="J25" s="560">
        <f>MAX($B$2-J12,0)</f>
        <v>0</v>
      </c>
      <c r="K25" s="723"/>
    </row>
    <row r="26" spans="3:11" x14ac:dyDescent="0.25">
      <c r="E26" s="43"/>
      <c r="F26" s="556"/>
      <c r="G26" s="563">
        <f>MAX($B$2-G13,($G$4*H25)+((1-$G$4)*H27)*EXP(-$B$3*$G$1))</f>
        <v>0.50461399393316408</v>
      </c>
      <c r="H26" s="558"/>
      <c r="I26" s="559">
        <f>MAX($B$2-I13,($G$4*J25)+((1-$G$4)*J27)*EXP(-$B$3*$G$1))</f>
        <v>0</v>
      </c>
      <c r="J26" s="560"/>
      <c r="K26" s="723"/>
    </row>
    <row r="27" spans="3:11" x14ac:dyDescent="0.25">
      <c r="E27" s="43"/>
      <c r="F27" s="564">
        <f>MAX($B$2-F14,($G$4*G26)+((1-$G$4)*G28)*EXP(-$B$3*$G$1))</f>
        <v>1.6251100895586035</v>
      </c>
      <c r="G27" s="557"/>
      <c r="H27" s="562">
        <f>MAX($B$2-H14,($G$4*I26)+((1-$G$4)*I28)*EXP(-$B$3*$G$1))</f>
        <v>1.0884642797249342</v>
      </c>
      <c r="I27" s="559"/>
      <c r="J27" s="560">
        <f>MAX($B$2-J14,0)</f>
        <v>0</v>
      </c>
      <c r="K27" s="723"/>
    </row>
    <row r="28" spans="3:11" x14ac:dyDescent="0.25">
      <c r="E28" s="509">
        <f>(($G$4*F27)+((1-$G$4)*F29))*EXP(-$B$3*$G$1)</f>
        <v>3.2837035622124073</v>
      </c>
      <c r="F28" s="556"/>
      <c r="G28" s="563">
        <f>MAX($B$2-G15,($G$4*H27)+((1-$G$4)*H29)*EXP(-$B$3*$G$1))</f>
        <v>2.9266219395943418</v>
      </c>
      <c r="H28" s="558"/>
      <c r="I28" s="559">
        <f>MAX($B$2-I15,($G$4*J27)+((1-$G$4)*J29)*EXP(-$B$3*$G$1))</f>
        <v>2.3478431087546094</v>
      </c>
      <c r="J28" s="560"/>
      <c r="K28" s="723"/>
    </row>
    <row r="29" spans="3:11" x14ac:dyDescent="0.25">
      <c r="E29" s="43"/>
      <c r="F29" s="564">
        <f>MAX($B$2-F16,($G$4*G28)+((1-$G$4)*G30)*EXP(-$B$3*$G$1))</f>
        <v>5.2376146270442643</v>
      </c>
      <c r="G29" s="557"/>
      <c r="H29" s="562">
        <f>MAX($B$2-H16,($G$4*I28)+((1-$G$4)*I30)*EXP(-$B$3*$G$1))</f>
        <v>5.0643529291742482</v>
      </c>
      <c r="I29" s="559"/>
      <c r="J29" s="560">
        <f>MAX($B$2-J16,0)</f>
        <v>5.0643529291742482</v>
      </c>
      <c r="K29" s="723"/>
    </row>
    <row r="30" spans="3:11" x14ac:dyDescent="0.25">
      <c r="E30" s="43"/>
      <c r="F30" s="556"/>
      <c r="G30" s="563">
        <f>MAX($B$2-G17,($G$4*H29)+((1-$G$4)*H31)*EXP(-$B$3*$G$1))</f>
        <v>7.9409006808577089</v>
      </c>
      <c r="H30" s="558"/>
      <c r="I30" s="559">
        <f>MAX($B$2-I17,($G$4*J29)+((1-$G$4)*J31)*EXP(-$B$3*$G$1))</f>
        <v>7.9409006808577089</v>
      </c>
      <c r="J30" s="560"/>
      <c r="K30" s="723"/>
    </row>
    <row r="31" spans="3:11" x14ac:dyDescent="0.25">
      <c r="E31" s="43"/>
      <c r="F31" s="556"/>
      <c r="G31" s="557"/>
      <c r="H31" s="562">
        <f>MAX($B$2-H18,($G$4*I30)+((1-$G$4)*I32)*EXP(-$B$3*$G$1))</f>
        <v>10.641153281965558</v>
      </c>
      <c r="I31" s="559"/>
      <c r="J31" s="560">
        <f>MAX($B$2-J18,0)</f>
        <v>10.641153281965558</v>
      </c>
      <c r="K31" s="723"/>
    </row>
    <row r="32" spans="3:11" x14ac:dyDescent="0.25">
      <c r="E32" s="43"/>
      <c r="F32" s="556"/>
      <c r="G32" s="557"/>
      <c r="H32" s="558"/>
      <c r="I32" s="559">
        <f>MAX($B$2-I19,($G$4*J31)+((1-$G$4)*J33)*EXP(-$B$3*$G$1))</f>
        <v>13.175915343719105</v>
      </c>
      <c r="J32" s="304"/>
      <c r="K32" s="723"/>
    </row>
    <row r="33" spans="5:11" x14ac:dyDescent="0.25">
      <c r="E33" s="43"/>
      <c r="F33" s="556"/>
      <c r="G33" s="557"/>
      <c r="H33" s="558"/>
      <c r="I33" s="561"/>
      <c r="J33" s="560">
        <f>MAX($B$2-J20,0)</f>
        <v>15.555329294498769</v>
      </c>
      <c r="K33" s="723"/>
    </row>
  </sheetData>
  <mergeCells count="2">
    <mergeCell ref="K10:K20"/>
    <mergeCell ref="K23:K33"/>
  </mergeCells>
  <pageMargins left="0.7" right="0.7" top="0.75" bottom="0.75" header="0.3" footer="0.3"/>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EC94-AD57-44E2-B124-14C135ADD9C6}">
  <dimension ref="B1:M36"/>
  <sheetViews>
    <sheetView workbookViewId="0">
      <selection activeCell="K25" sqref="K25"/>
    </sheetView>
  </sheetViews>
  <sheetFormatPr baseColWidth="10" defaultColWidth="8.77734375" defaultRowHeight="13.2" x14ac:dyDescent="0.25"/>
  <cols>
    <col min="1" max="1" width="8.77734375" style="42"/>
    <col min="2" max="2" width="13.109375" style="42" bestFit="1" customWidth="1"/>
    <col min="3" max="6" width="8.77734375" style="42"/>
    <col min="7" max="7" width="12.21875" style="42" bestFit="1" customWidth="1"/>
    <col min="8" max="9" width="8.77734375" style="42"/>
    <col min="10" max="10" width="15.109375" style="42" bestFit="1" customWidth="1"/>
    <col min="11" max="12" width="8.77734375" style="42"/>
    <col min="13" max="13" width="15.109375" style="42" bestFit="1" customWidth="1"/>
    <col min="14" max="16384" width="8.77734375" style="42"/>
  </cols>
  <sheetData>
    <row r="1" spans="2:13" x14ac:dyDescent="0.25">
      <c r="B1" s="43" t="s">
        <v>218</v>
      </c>
      <c r="C1" s="43">
        <v>100</v>
      </c>
      <c r="G1" s="43" t="s">
        <v>97</v>
      </c>
      <c r="H1" s="46">
        <f>IF(C8="C",1,-1)</f>
        <v>-1</v>
      </c>
    </row>
    <row r="2" spans="2:13" x14ac:dyDescent="0.25">
      <c r="B2" s="43" t="s">
        <v>584</v>
      </c>
      <c r="C2" s="43">
        <v>100</v>
      </c>
      <c r="G2" s="43" t="s">
        <v>601</v>
      </c>
      <c r="H2" s="46">
        <f>IF(C9="A",1,0)</f>
        <v>0</v>
      </c>
    </row>
    <row r="3" spans="2:13" x14ac:dyDescent="0.25">
      <c r="B3" s="43" t="s">
        <v>219</v>
      </c>
      <c r="C3" s="565">
        <v>0.1</v>
      </c>
      <c r="G3" s="46" t="s">
        <v>583</v>
      </c>
      <c r="H3" s="46">
        <f>C6/C7</f>
        <v>0.16666666666666666</v>
      </c>
    </row>
    <row r="4" spans="2:13" x14ac:dyDescent="0.25">
      <c r="B4" s="43" t="s">
        <v>221</v>
      </c>
      <c r="C4" s="565">
        <v>0</v>
      </c>
      <c r="G4" s="46" t="s">
        <v>224</v>
      </c>
      <c r="H4" s="46">
        <f>EXP(C5*SQRT(H3))</f>
        <v>1.1302902827674572</v>
      </c>
    </row>
    <row r="5" spans="2:13" x14ac:dyDescent="0.25">
      <c r="B5" s="43" t="s">
        <v>225</v>
      </c>
      <c r="C5" s="565">
        <v>0.3</v>
      </c>
      <c r="G5" s="46" t="s">
        <v>226</v>
      </c>
      <c r="H5" s="46">
        <f>1/H4</f>
        <v>0.88472847661005438</v>
      </c>
    </row>
    <row r="6" spans="2:13" x14ac:dyDescent="0.25">
      <c r="B6" s="43" t="s">
        <v>587</v>
      </c>
      <c r="C6" s="43">
        <v>1</v>
      </c>
      <c r="G6" s="46" t="s">
        <v>228</v>
      </c>
      <c r="H6" s="46">
        <f>(EXP((C3-C4)*H3)-H5)/(H4-H5)</f>
        <v>0.53785992147144346</v>
      </c>
    </row>
    <row r="7" spans="2:13" x14ac:dyDescent="0.25">
      <c r="B7" s="43" t="s">
        <v>239</v>
      </c>
      <c r="C7" s="43">
        <v>6</v>
      </c>
    </row>
    <row r="8" spans="2:13" x14ac:dyDescent="0.25">
      <c r="B8" s="43" t="s">
        <v>97</v>
      </c>
      <c r="C8" s="46" t="s">
        <v>98</v>
      </c>
    </row>
    <row r="9" spans="2:13" x14ac:dyDescent="0.25">
      <c r="B9" s="43" t="s">
        <v>602</v>
      </c>
      <c r="C9" s="46" t="s">
        <v>458</v>
      </c>
      <c r="E9" s="43" t="s">
        <v>240</v>
      </c>
      <c r="F9" s="52">
        <v>0</v>
      </c>
      <c r="G9" s="52">
        <f>H3</f>
        <v>0.16666666666666666</v>
      </c>
      <c r="H9" s="52">
        <f>$G$9*2</f>
        <v>0.33333333333333331</v>
      </c>
      <c r="I9" s="52">
        <f>$G$9*3</f>
        <v>0.5</v>
      </c>
      <c r="J9" s="52">
        <f>$G$9*4</f>
        <v>0.66666666666666663</v>
      </c>
      <c r="K9" s="52">
        <f>$G$9*5</f>
        <v>0.83333333333333326</v>
      </c>
      <c r="L9" s="52">
        <f>$G$9*6</f>
        <v>1</v>
      </c>
    </row>
    <row r="10" spans="2:13" x14ac:dyDescent="0.25">
      <c r="F10" s="235"/>
      <c r="G10" s="236"/>
      <c r="H10" s="236"/>
      <c r="I10" s="236"/>
      <c r="J10" s="236"/>
      <c r="K10" s="236"/>
      <c r="L10" s="45">
        <f>K11*$H$4</f>
        <v>208.51627772667646</v>
      </c>
      <c r="M10" s="714" t="s">
        <v>593</v>
      </c>
    </row>
    <row r="11" spans="2:13" x14ac:dyDescent="0.25">
      <c r="F11" s="254"/>
      <c r="K11" s="50">
        <f>J12*$H$4</f>
        <v>184.48028874152146</v>
      </c>
      <c r="L11" s="255"/>
      <c r="M11" s="715"/>
    </row>
    <row r="12" spans="2:13" x14ac:dyDescent="0.25">
      <c r="F12" s="254"/>
      <c r="J12" s="50">
        <f>I13*$H$4</f>
        <v>163.21496482286923</v>
      </c>
      <c r="L12" s="56">
        <f>J12</f>
        <v>163.21496482286923</v>
      </c>
      <c r="M12" s="715"/>
    </row>
    <row r="13" spans="2:13" x14ac:dyDescent="0.25">
      <c r="F13" s="54"/>
      <c r="G13" s="50"/>
      <c r="H13" s="50"/>
      <c r="I13" s="50">
        <f>H14*$H$4</f>
        <v>144.40092718770072</v>
      </c>
      <c r="K13" s="50">
        <f>I13</f>
        <v>144.40092718770072</v>
      </c>
      <c r="L13" s="255"/>
      <c r="M13" s="715"/>
    </row>
    <row r="14" spans="2:13" x14ac:dyDescent="0.25">
      <c r="F14" s="54"/>
      <c r="G14" s="50"/>
      <c r="H14" s="50">
        <f>G15*$H$4</f>
        <v>127.75561233185384</v>
      </c>
      <c r="I14" s="50"/>
      <c r="J14" s="50">
        <f>H14</f>
        <v>127.75561233185384</v>
      </c>
      <c r="L14" s="56">
        <f>J14</f>
        <v>127.75561233185384</v>
      </c>
      <c r="M14" s="715"/>
    </row>
    <row r="15" spans="2:13" x14ac:dyDescent="0.25">
      <c r="F15" s="54"/>
      <c r="G15" s="50">
        <f>F16*$H$4</f>
        <v>113.02902827674572</v>
      </c>
      <c r="H15" s="50"/>
      <c r="I15" s="50">
        <f>G15</f>
        <v>113.02902827674572</v>
      </c>
      <c r="K15" s="50">
        <f>I15</f>
        <v>113.02902827674572</v>
      </c>
      <c r="L15" s="255"/>
      <c r="M15" s="715"/>
    </row>
    <row r="16" spans="2:13" x14ac:dyDescent="0.25">
      <c r="F16" s="54">
        <f>C1</f>
        <v>100</v>
      </c>
      <c r="G16" s="50"/>
      <c r="H16" s="50">
        <f>F16</f>
        <v>100</v>
      </c>
      <c r="I16" s="50"/>
      <c r="J16" s="50">
        <f>H16</f>
        <v>100</v>
      </c>
      <c r="L16" s="56">
        <f>J16</f>
        <v>100</v>
      </c>
      <c r="M16" s="715"/>
    </row>
    <row r="17" spans="6:13" x14ac:dyDescent="0.25">
      <c r="F17" s="54"/>
      <c r="G17" s="50">
        <f>F16*$H$5</f>
        <v>88.472847661005432</v>
      </c>
      <c r="H17" s="50"/>
      <c r="I17" s="50">
        <f>G17</f>
        <v>88.472847661005432</v>
      </c>
      <c r="K17" s="50">
        <f>I17</f>
        <v>88.472847661005432</v>
      </c>
      <c r="L17" s="255"/>
      <c r="M17" s="715"/>
    </row>
    <row r="18" spans="6:13" x14ac:dyDescent="0.25">
      <c r="F18" s="54"/>
      <c r="G18" s="50"/>
      <c r="H18" s="50">
        <f>G17*$H$5</f>
        <v>78.274447732474755</v>
      </c>
      <c r="I18" s="50"/>
      <c r="J18" s="50">
        <f>H18</f>
        <v>78.274447732474755</v>
      </c>
      <c r="L18" s="56">
        <f>J18</f>
        <v>78.274447732474755</v>
      </c>
      <c r="M18" s="715"/>
    </row>
    <row r="19" spans="6:13" x14ac:dyDescent="0.25">
      <c r="F19" s="54"/>
      <c r="G19" s="50"/>
      <c r="H19" s="50"/>
      <c r="I19" s="50">
        <f>H18*$H$5</f>
        <v>69.251632899845717</v>
      </c>
      <c r="K19" s="50">
        <f>I19</f>
        <v>69.251632899845717</v>
      </c>
      <c r="L19" s="255"/>
      <c r="M19" s="715"/>
    </row>
    <row r="20" spans="6:13" x14ac:dyDescent="0.25">
      <c r="F20" s="54"/>
      <c r="G20" s="50"/>
      <c r="H20" s="50"/>
      <c r="I20" s="50"/>
      <c r="J20" s="50">
        <f>I19*$H$5</f>
        <v>61.268891678239221</v>
      </c>
      <c r="L20" s="56">
        <f>J20</f>
        <v>61.268891678239221</v>
      </c>
      <c r="M20" s="715"/>
    </row>
    <row r="21" spans="6:13" x14ac:dyDescent="0.25">
      <c r="F21" s="54"/>
      <c r="G21" s="50"/>
      <c r="H21" s="50"/>
      <c r="I21" s="50"/>
      <c r="K21" s="50">
        <f>J20*$H$5</f>
        <v>54.206333198075022</v>
      </c>
      <c r="L21" s="255"/>
      <c r="M21" s="715"/>
    </row>
    <row r="22" spans="6:13" x14ac:dyDescent="0.25">
      <c r="F22" s="64"/>
      <c r="G22" s="67"/>
      <c r="H22" s="67"/>
      <c r="I22" s="67"/>
      <c r="J22" s="239"/>
      <c r="K22" s="239"/>
      <c r="L22" s="58">
        <f>K21*$H$5</f>
        <v>47.957886592949933</v>
      </c>
      <c r="M22" s="716"/>
    </row>
    <row r="23" spans="6:13" x14ac:dyDescent="0.25">
      <c r="F23" s="50"/>
      <c r="G23" s="50"/>
      <c r="H23" s="50"/>
      <c r="I23" s="50"/>
      <c r="M23" s="566"/>
    </row>
    <row r="24" spans="6:13" x14ac:dyDescent="0.25">
      <c r="F24" s="51"/>
      <c r="G24" s="48"/>
      <c r="H24" s="48"/>
      <c r="I24" s="48"/>
      <c r="J24" s="236"/>
      <c r="K24" s="236"/>
      <c r="L24" s="237">
        <f>MAX((L10-$C$2)*$H$1,0)</f>
        <v>0</v>
      </c>
      <c r="M24" s="714" t="s">
        <v>600</v>
      </c>
    </row>
    <row r="25" spans="6:13" x14ac:dyDescent="0.25">
      <c r="F25" s="54"/>
      <c r="G25" s="50"/>
      <c r="H25" s="50"/>
      <c r="I25" s="50"/>
      <c r="K25" s="42">
        <f>MAX((K11-$C$2)*$H$1*$H$2,(($H$6*L24)+((1-$H$6)*L26))*EXP(-$C$3*$H$3))</f>
        <v>0</v>
      </c>
      <c r="L25" s="255"/>
      <c r="M25" s="715"/>
    </row>
    <row r="26" spans="6:13" x14ac:dyDescent="0.25">
      <c r="F26" s="254"/>
      <c r="J26" s="42">
        <f>MAX((J12-$C$2)*$H$1*$H$2,(($H$6*K25)+((1-$H$6)*K27))*EXP(-$C$3*$H$3))</f>
        <v>0</v>
      </c>
      <c r="L26" s="255">
        <f>MAX((L12-$C$2)*$H$1,0)</f>
        <v>0</v>
      </c>
      <c r="M26" s="715"/>
    </row>
    <row r="27" spans="6:13" x14ac:dyDescent="0.25">
      <c r="F27" s="254"/>
      <c r="I27" s="42">
        <f>MAX((I13-$C$2)*$H$1*$H$2,(($H$6*J26)+((1-$H$6)*J28))*EXP(-$C$3*$H$3))</f>
        <v>0</v>
      </c>
      <c r="K27" s="42">
        <f>MAX((K13-$C$2)*$H$1*$H$2,(($H$6*L26)+((1-$H$6)*L28))*EXP(-$C$3*$H$3))</f>
        <v>0</v>
      </c>
      <c r="L27" s="255"/>
      <c r="M27" s="715"/>
    </row>
    <row r="28" spans="6:13" x14ac:dyDescent="0.25">
      <c r="F28" s="254"/>
      <c r="H28" s="42">
        <f>MAX((H14-$C$2)*$H$1*$H$2,(($H$6*I27)+((1-$H$6)*I29))*EXP(-$C$3*$H$3))</f>
        <v>0.92706971681795081</v>
      </c>
      <c r="J28" s="42">
        <f>MAX((J14-$C$2)*$H$1*$H$2,(($H$6*K27)+((1-$H$6)*K29))*EXP(-$C$3*$H$3))</f>
        <v>0</v>
      </c>
      <c r="L28" s="255">
        <f>MAX((L14-$C$2)*$H$1,0)</f>
        <v>0</v>
      </c>
      <c r="M28" s="715"/>
    </row>
    <row r="29" spans="6:13" x14ac:dyDescent="0.25">
      <c r="F29" s="254"/>
      <c r="G29" s="42">
        <f>MAX((G15-$C$2)*$H$1*$H$2,(($H$6*H28)+((1-$H$6)*H30))*EXP(-$C$3*$H$3))</f>
        <v>3.2031274480366645</v>
      </c>
      <c r="I29" s="42">
        <f>MAX((I15-$C$2)*$H$1*$H$2,(($H$6*J28)+((1-$H$6)*J30))*EXP(-$C$3*$H$3))</f>
        <v>2.0397502847432492</v>
      </c>
      <c r="K29" s="42">
        <f>MAX((K15-$C$2)*$H$1*$H$2,(($H$6*L28)+((1-$H$6)*L30))*EXP(-$C$3*$H$3))</f>
        <v>0</v>
      </c>
      <c r="L29" s="255"/>
      <c r="M29" s="715"/>
    </row>
    <row r="30" spans="6:13" x14ac:dyDescent="0.25">
      <c r="F30" s="567">
        <f>(($H$6*G29)+((1-$H$6)*G31))*EXP(-$C$3*$H$3)</f>
        <v>6.7338497342581487</v>
      </c>
      <c r="H30" s="42">
        <f>MAX((H16-$C$2)*$H$1*$H$2,(($H$6*I29)+((1-$H$6)*I31))*EXP(-$C$3*$H$3))</f>
        <v>5.9685942623584225</v>
      </c>
      <c r="J30" s="42">
        <f>MAX((J16-$C$2)*$H$1*$H$2,(($H$6*K29)+((1-$H$6)*K31))*EXP(-$C$3*$H$3))</f>
        <v>4.487883865294223</v>
      </c>
      <c r="L30" s="255">
        <f>MAX((L16-$C$2)*$H$1,0)</f>
        <v>0</v>
      </c>
      <c r="M30" s="715"/>
    </row>
    <row r="31" spans="6:13" x14ac:dyDescent="0.25">
      <c r="F31" s="254"/>
      <c r="G31" s="42">
        <f>MAX((G17-$C$2)*$H$1*$H$2,(($H$6*H30)+((1-$H$6)*H32))*EXP(-$C$3*$H$3))</f>
        <v>11.087952328901654</v>
      </c>
      <c r="I31" s="42">
        <f>MAX((I17-$C$2)*$H$1*$H$2,(($H$6*J30)+((1-$H$6)*J32))*EXP(-$C$3*$H$3))</f>
        <v>10.758219709768332</v>
      </c>
      <c r="K31" s="42">
        <f>MAX((K17-$C$2)*$H$1*$H$2,(($H$6*L30)+((1-$H$6)*L32))*EXP(-$C$3*$H$3))</f>
        <v>9.874297721156319</v>
      </c>
      <c r="L31" s="255"/>
      <c r="M31" s="715"/>
    </row>
    <row r="32" spans="6:13" x14ac:dyDescent="0.25">
      <c r="F32" s="254"/>
      <c r="H32" s="42">
        <f>MAX((H18-$C$2)*$H$1*$H$2,(($H$6*I31)+((1-$H$6)*I33))*EXP(-$C$3*$H$3))</f>
        <v>17.449325112587015</v>
      </c>
      <c r="J32" s="42">
        <f>MAX((J18-$C$2)*$H$1*$H$2,(($H$6*K31)+((1-$H$6)*K33))*EXP(-$C$3*$H$3))</f>
        <v>18.447162315725851</v>
      </c>
      <c r="L32" s="255">
        <f>MAX((L18-$C$2)*$H$1,0)</f>
        <v>21.725552267525245</v>
      </c>
      <c r="M32" s="715"/>
    </row>
    <row r="33" spans="6:13" x14ac:dyDescent="0.25">
      <c r="F33" s="254"/>
      <c r="I33" s="42">
        <f>MAX((I19-$C$2)*$H$1*$H$2,(($H$6*J32)+((1-$H$6)*J34))*EXP(-$C$3*$H$3))</f>
        <v>25.871309550225703</v>
      </c>
      <c r="K33" s="42">
        <f>MAX((K19-$C$2)*$H$1*$H$2,(($H$6*L32)+((1-$H$6)*L34))*EXP(-$C$3*$H$3))</f>
        <v>29.095512482316039</v>
      </c>
      <c r="L33" s="255"/>
      <c r="M33" s="715"/>
    </row>
    <row r="34" spans="6:13" x14ac:dyDescent="0.25">
      <c r="F34" s="254"/>
      <c r="J34" s="42">
        <f>MAX((J20-$C$2)*$H$1*$H$2,(($H$6*K33)+((1-$H$6)*K35))*EXP(-$C$3*$H$3))</f>
        <v>35.452718369961381</v>
      </c>
      <c r="L34" s="255">
        <f>MAX((L20-$C$2)*$H$1,0)</f>
        <v>38.731108321760779</v>
      </c>
      <c r="M34" s="715"/>
    </row>
    <row r="35" spans="6:13" x14ac:dyDescent="0.25">
      <c r="F35" s="254"/>
      <c r="K35" s="42">
        <f>MAX((K21-$C$2)*$H$1*$H$2,(($H$6*L34)+((1-$H$6)*L36))*EXP(-$C$3*$H$3))</f>
        <v>44.140812184086734</v>
      </c>
      <c r="L35" s="255"/>
      <c r="M35" s="715"/>
    </row>
    <row r="36" spans="6:13" x14ac:dyDescent="0.25">
      <c r="F36" s="238"/>
      <c r="G36" s="239"/>
      <c r="H36" s="239"/>
      <c r="I36" s="239"/>
      <c r="J36" s="239"/>
      <c r="K36" s="239"/>
      <c r="L36" s="240">
        <f>MAX((L22-$C$2)*$H$1,0)</f>
        <v>52.042113407050067</v>
      </c>
      <c r="M36" s="716"/>
    </row>
  </sheetData>
  <mergeCells count="2">
    <mergeCell ref="M10:M22"/>
    <mergeCell ref="M24:M36"/>
  </mergeCells>
  <pageMargins left="0.7" right="0.7" top="0.75" bottom="0.75" header="0.3" footer="0.3"/>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FC670-1406-448A-AFD9-9E7B82C6F152}">
  <dimension ref="B1:M37"/>
  <sheetViews>
    <sheetView workbookViewId="0">
      <selection activeCell="L25" sqref="L25"/>
    </sheetView>
  </sheetViews>
  <sheetFormatPr baseColWidth="10" defaultColWidth="8.77734375" defaultRowHeight="13.2" x14ac:dyDescent="0.25"/>
  <cols>
    <col min="1" max="1" width="8.77734375" style="42"/>
    <col min="2" max="2" width="13.109375" style="42" bestFit="1" customWidth="1"/>
    <col min="3" max="3" width="10.21875" style="42" bestFit="1" customWidth="1"/>
    <col min="4" max="6" width="8.77734375" style="42"/>
    <col min="7" max="7" width="12.21875" style="42" bestFit="1" customWidth="1"/>
    <col min="8" max="9" width="8.77734375" style="42"/>
    <col min="10" max="10" width="15.109375" style="42" bestFit="1" customWidth="1"/>
    <col min="11" max="12" width="8.77734375" style="42"/>
    <col min="13" max="13" width="15.109375" style="42" bestFit="1" customWidth="1"/>
    <col min="14" max="16384" width="8.77734375" style="42"/>
  </cols>
  <sheetData>
    <row r="1" spans="2:13" ht="22.8" x14ac:dyDescent="0.4">
      <c r="B1" s="43" t="s">
        <v>218</v>
      </c>
      <c r="C1" s="43">
        <v>100</v>
      </c>
      <c r="G1" s="43" t="s">
        <v>97</v>
      </c>
      <c r="H1" s="46">
        <f>IF(C9="C",1,-1)</f>
        <v>-1</v>
      </c>
      <c r="J1" s="699" t="s">
        <v>765</v>
      </c>
      <c r="K1" s="699"/>
    </row>
    <row r="2" spans="2:13" x14ac:dyDescent="0.25">
      <c r="B2" s="43" t="s">
        <v>584</v>
      </c>
      <c r="C2" s="43">
        <v>120</v>
      </c>
      <c r="G2" s="43" t="s">
        <v>601</v>
      </c>
      <c r="H2" s="46">
        <f>IF(C10="A",1,0)</f>
        <v>0</v>
      </c>
    </row>
    <row r="3" spans="2:13" x14ac:dyDescent="0.25">
      <c r="B3" s="43" t="s">
        <v>219</v>
      </c>
      <c r="C3" s="565">
        <v>0.1</v>
      </c>
      <c r="G3" s="46" t="s">
        <v>583</v>
      </c>
      <c r="H3" s="46">
        <f>C6/C7</f>
        <v>8.3333333333333329E-2</v>
      </c>
    </row>
    <row r="4" spans="2:13" x14ac:dyDescent="0.25">
      <c r="B4" s="43" t="s">
        <v>221</v>
      </c>
      <c r="C4" s="565">
        <v>0</v>
      </c>
      <c r="G4" s="46" t="s">
        <v>224</v>
      </c>
      <c r="H4" s="46">
        <f>EXP(C5*SQRT(H3))</f>
        <v>1.0904631784921235</v>
      </c>
    </row>
    <row r="5" spans="2:13" x14ac:dyDescent="0.25">
      <c r="B5" s="43" t="s">
        <v>225</v>
      </c>
      <c r="C5" s="565">
        <v>0.3</v>
      </c>
      <c r="G5" s="46" t="s">
        <v>226</v>
      </c>
      <c r="H5" s="46">
        <f>1/H4</f>
        <v>0.91704151017990843</v>
      </c>
    </row>
    <row r="6" spans="2:13" x14ac:dyDescent="0.25">
      <c r="B6" s="43" t="s">
        <v>587</v>
      </c>
      <c r="C6" s="43">
        <v>0.5</v>
      </c>
      <c r="G6" s="46" t="s">
        <v>228</v>
      </c>
      <c r="H6" s="46">
        <f>(EXP((C3-C4)*H3)-H5)/(H4-H5)</f>
        <v>0.52661609657174513</v>
      </c>
    </row>
    <row r="7" spans="2:13" x14ac:dyDescent="0.25">
      <c r="B7" s="43" t="s">
        <v>239</v>
      </c>
      <c r="C7" s="43">
        <v>6</v>
      </c>
    </row>
    <row r="8" spans="2:13" x14ac:dyDescent="0.25">
      <c r="B8" s="43" t="s">
        <v>760</v>
      </c>
      <c r="C8" s="688">
        <v>1000</v>
      </c>
    </row>
    <row r="9" spans="2:13" x14ac:dyDescent="0.25">
      <c r="B9" s="43" t="s">
        <v>97</v>
      </c>
      <c r="C9" s="46" t="s">
        <v>98</v>
      </c>
    </row>
    <row r="10" spans="2:13" x14ac:dyDescent="0.25">
      <c r="B10" s="43" t="s">
        <v>602</v>
      </c>
      <c r="C10" s="46" t="s">
        <v>458</v>
      </c>
      <c r="E10" s="43" t="s">
        <v>240</v>
      </c>
      <c r="F10" s="52">
        <v>0</v>
      </c>
      <c r="G10" s="52">
        <f>H3</f>
        <v>8.3333333333333329E-2</v>
      </c>
      <c r="H10" s="52">
        <f>$G$10*2</f>
        <v>0.16666666666666666</v>
      </c>
      <c r="I10" s="52">
        <f>$G$10*3</f>
        <v>0.25</v>
      </c>
      <c r="J10" s="52">
        <f>$G$10*4</f>
        <v>0.33333333333333331</v>
      </c>
      <c r="K10" s="52">
        <f>$G$10*5</f>
        <v>0.41666666666666663</v>
      </c>
      <c r="L10" s="52">
        <f>$G$10*6</f>
        <v>0.5</v>
      </c>
    </row>
    <row r="11" spans="2:13" x14ac:dyDescent="0.25">
      <c r="F11" s="235"/>
      <c r="G11" s="236"/>
      <c r="H11" s="236"/>
      <c r="I11" s="236"/>
      <c r="J11" s="236"/>
      <c r="K11" s="236"/>
      <c r="L11" s="45">
        <f>K12*$H$4</f>
        <v>168.13806010461735</v>
      </c>
      <c r="M11" s="714" t="s">
        <v>593</v>
      </c>
    </row>
    <row r="12" spans="2:13" x14ac:dyDescent="0.25">
      <c r="F12" s="254"/>
      <c r="K12" s="50">
        <f>J13*$H$4</f>
        <v>154.18958055705852</v>
      </c>
      <c r="L12" s="255"/>
      <c r="M12" s="715"/>
    </row>
    <row r="13" spans="2:13" x14ac:dyDescent="0.25">
      <c r="F13" s="254"/>
      <c r="J13" s="50">
        <f>I14*$H$4</f>
        <v>141.3982458080516</v>
      </c>
      <c r="L13" s="56">
        <f>J13</f>
        <v>141.3982458080516</v>
      </c>
      <c r="M13" s="715"/>
    </row>
    <row r="14" spans="2:13" x14ac:dyDescent="0.25">
      <c r="F14" s="54"/>
      <c r="G14" s="50"/>
      <c r="H14" s="50"/>
      <c r="I14" s="50">
        <f>H15*$H$4</f>
        <v>129.66806087260554</v>
      </c>
      <c r="K14" s="50">
        <f>I14</f>
        <v>129.66806087260554</v>
      </c>
      <c r="L14" s="255"/>
      <c r="M14" s="715"/>
    </row>
    <row r="15" spans="2:13" x14ac:dyDescent="0.25">
      <c r="F15" s="54"/>
      <c r="G15" s="50"/>
      <c r="H15" s="50">
        <f>G16*$H$4</f>
        <v>118.91099436471447</v>
      </c>
      <c r="I15" s="50"/>
      <c r="J15" s="50">
        <f>H15</f>
        <v>118.91099436471447</v>
      </c>
      <c r="L15" s="56">
        <f>J15</f>
        <v>118.91099436471447</v>
      </c>
      <c r="M15" s="715"/>
    </row>
    <row r="16" spans="2:13" x14ac:dyDescent="0.25">
      <c r="F16" s="54"/>
      <c r="G16" s="50">
        <f>F17*$H$4</f>
        <v>109.04631784921234</v>
      </c>
      <c r="H16" s="50"/>
      <c r="I16" s="50">
        <f>G16</f>
        <v>109.04631784921234</v>
      </c>
      <c r="K16" s="50">
        <f>I16</f>
        <v>109.04631784921234</v>
      </c>
      <c r="L16" s="255"/>
      <c r="M16" s="715"/>
    </row>
    <row r="17" spans="6:13" x14ac:dyDescent="0.25">
      <c r="F17" s="54">
        <f>C1</f>
        <v>100</v>
      </c>
      <c r="G17" s="50"/>
      <c r="H17" s="50">
        <f>F17</f>
        <v>100</v>
      </c>
      <c r="I17" s="50"/>
      <c r="J17" s="50">
        <f>H17</f>
        <v>100</v>
      </c>
      <c r="L17" s="56">
        <f>J17</f>
        <v>100</v>
      </c>
      <c r="M17" s="715"/>
    </row>
    <row r="18" spans="6:13" x14ac:dyDescent="0.25">
      <c r="F18" s="54"/>
      <c r="G18" s="50">
        <f>F17*$H$5</f>
        <v>91.704151017990839</v>
      </c>
      <c r="H18" s="50"/>
      <c r="I18" s="50">
        <f>G18</f>
        <v>91.704151017990839</v>
      </c>
      <c r="K18" s="50">
        <f>I18</f>
        <v>91.704151017990839</v>
      </c>
      <c r="L18" s="255"/>
      <c r="M18" s="715"/>
    </row>
    <row r="19" spans="6:13" x14ac:dyDescent="0.25">
      <c r="F19" s="54"/>
      <c r="G19" s="50"/>
      <c r="H19" s="50">
        <f>G18*$H$5</f>
        <v>84.096513139304705</v>
      </c>
      <c r="I19" s="50"/>
      <c r="J19" s="50">
        <f>H19</f>
        <v>84.096513139304705</v>
      </c>
      <c r="L19" s="56">
        <f>J19</f>
        <v>84.096513139304705</v>
      </c>
      <c r="M19" s="715"/>
    </row>
    <row r="20" spans="6:13" x14ac:dyDescent="0.25">
      <c r="F20" s="54"/>
      <c r="G20" s="50"/>
      <c r="H20" s="50"/>
      <c r="I20" s="50">
        <f>H19*$H$5</f>
        <v>77.119993410132494</v>
      </c>
      <c r="K20" s="50">
        <f>I20</f>
        <v>77.119993410132494</v>
      </c>
      <c r="L20" s="255"/>
      <c r="M20" s="715"/>
    </row>
    <row r="21" spans="6:13" x14ac:dyDescent="0.25">
      <c r="F21" s="54"/>
      <c r="G21" s="50"/>
      <c r="H21" s="50"/>
      <c r="I21" s="50"/>
      <c r="J21" s="50">
        <f>I20*$H$5</f>
        <v>70.72223522189249</v>
      </c>
      <c r="L21" s="56">
        <f>J21</f>
        <v>70.72223522189249</v>
      </c>
      <c r="M21" s="715"/>
    </row>
    <row r="22" spans="6:13" x14ac:dyDescent="0.25">
      <c r="F22" s="54"/>
      <c r="G22" s="50"/>
      <c r="H22" s="50"/>
      <c r="I22" s="50"/>
      <c r="K22" s="50">
        <f>J21*$H$5</f>
        <v>64.855225391182998</v>
      </c>
      <c r="L22" s="255"/>
      <c r="M22" s="715"/>
    </row>
    <row r="23" spans="6:13" x14ac:dyDescent="0.25">
      <c r="F23" s="64"/>
      <c r="G23" s="67"/>
      <c r="H23" s="67"/>
      <c r="I23" s="67"/>
      <c r="J23" s="239"/>
      <c r="K23" s="239"/>
      <c r="L23" s="58">
        <f>K22*$H$5</f>
        <v>59.474933835788796</v>
      </c>
      <c r="M23" s="716"/>
    </row>
    <row r="24" spans="6:13" x14ac:dyDescent="0.25">
      <c r="F24" s="50"/>
      <c r="G24" s="50"/>
      <c r="H24" s="50"/>
      <c r="I24" s="50"/>
      <c r="M24" s="566"/>
    </row>
    <row r="25" spans="6:13" x14ac:dyDescent="0.25">
      <c r="F25" s="51"/>
      <c r="G25" s="48"/>
      <c r="H25" s="48"/>
      <c r="I25" s="48"/>
      <c r="J25" s="236"/>
      <c r="K25" s="236"/>
      <c r="L25" s="237">
        <f>IF(L11&gt;$C$2,$C$8,0)</f>
        <v>1000</v>
      </c>
      <c r="M25" s="714" t="s">
        <v>600</v>
      </c>
    </row>
    <row r="26" spans="6:13" x14ac:dyDescent="0.25">
      <c r="F26" s="54"/>
      <c r="G26" s="50"/>
      <c r="H26" s="50"/>
      <c r="I26" s="50"/>
      <c r="K26" s="42">
        <f>MAX((K12-$C$2)*$H$1*$H$2,(($H$6*L25)+((1-$H$6)*L27))*EXP(-$C$3*$H$3))</f>
        <v>991.701292638876</v>
      </c>
      <c r="L26" s="255"/>
      <c r="M26" s="715"/>
    </row>
    <row r="27" spans="6:13" x14ac:dyDescent="0.25">
      <c r="F27" s="254"/>
      <c r="J27" s="42">
        <f>MAX((J13-$C$2)*$H$1*$H$2,(($H$6*K26)+((1-$H$6)*K28))*EXP(-$C$3*$H$3))</f>
        <v>763.08305405639987</v>
      </c>
      <c r="L27" s="237">
        <f>IF(L13&gt;$C$2,$C$8,0)</f>
        <v>1000</v>
      </c>
      <c r="M27" s="715"/>
    </row>
    <row r="28" spans="6:13" x14ac:dyDescent="0.25">
      <c r="F28" s="254"/>
      <c r="I28" s="42">
        <f>MAX((I14-$C$2)*$H$1*$H$2,(($H$6*J27)+((1-$H$6)*J29))*EXP(-$C$3*$H$3))</f>
        <v>526.55659073122206</v>
      </c>
      <c r="K28" s="42">
        <f>MAX((K14-$C$2)*$H$1*$H$2,(($H$6*L27)+((1-$H$6)*L29))*EXP(-$C$3*$H$3))</f>
        <v>522.24586369463884</v>
      </c>
      <c r="L28" s="255"/>
      <c r="M28" s="715"/>
    </row>
    <row r="29" spans="6:13" x14ac:dyDescent="0.25">
      <c r="F29" s="254"/>
      <c r="H29" s="42">
        <f>MAX((H15-$C$2)*$H$1*$H$2,(($H$6*I28)+((1-$H$6)*I30))*EXP(-$C$3*$H$3))</f>
        <v>341.86016453856274</v>
      </c>
      <c r="J29" s="42">
        <f>MAX((J15-$C$2)*$H$1*$H$2,(($H$6*K28)+((1-$H$6)*K30))*EXP(-$C$3*$H$3))</f>
        <v>272.74074214615928</v>
      </c>
      <c r="L29" s="237">
        <f>IF(L15&gt;$C$2,$C$8,0)</f>
        <v>0</v>
      </c>
      <c r="M29" s="715"/>
    </row>
    <row r="30" spans="6:13" x14ac:dyDescent="0.25">
      <c r="F30" s="254"/>
      <c r="G30" s="42">
        <f>MAX((G16-$C$2)*$H$1*$H$2,(($H$6*H29)+((1-$H$6)*H31))*EXP(-$C$3*$H$3))</f>
        <v>213.45667844648111</v>
      </c>
      <c r="I30" s="42">
        <f>MAX((I16-$C$2)*$H$1*$H$2,(($H$6*J29)+((1-$H$6)*J31))*EXP(-$C$3*$H$3))</f>
        <v>142.43772444683773</v>
      </c>
      <c r="K30" s="42">
        <f>MAX((K16-$C$2)*$H$1*$H$2,(($H$6*L29)+((1-$H$6)*L31))*EXP(-$C$3*$H$3))</f>
        <v>0</v>
      </c>
      <c r="L30" s="255"/>
      <c r="M30" s="715"/>
    </row>
    <row r="31" spans="6:13" x14ac:dyDescent="0.25">
      <c r="F31" s="567">
        <f>(($H$6*G30)+((1-$H$6)*G32))*EXP(-$C$3*$H$3)</f>
        <v>129.71453980688693</v>
      </c>
      <c r="H31" s="42">
        <f>MAX((H17-$C$2)*$H$1*$H$2,(($H$6*I30)+((1-$H$6)*I32))*EXP(-$C$3*$H$3))</f>
        <v>74.387512426437738</v>
      </c>
      <c r="J31" s="42">
        <f>MAX((J17-$C$2)*$H$1*$H$2,(($H$6*K30)+((1-$H$6)*K32))*EXP(-$C$3*$H$3))</f>
        <v>0</v>
      </c>
      <c r="L31" s="237">
        <f>IF(L17&gt;$C$2,$C$8,0)</f>
        <v>0</v>
      </c>
      <c r="M31" s="715"/>
    </row>
    <row r="32" spans="6:13" x14ac:dyDescent="0.25">
      <c r="F32" s="254"/>
      <c r="G32" s="42">
        <f>MAX((G18-$C$2)*$H$1*$H$2,(($H$6*H31)+((1-$H$6)*H33))*EXP(-$C$3*$H$3))</f>
        <v>38.848570675240651</v>
      </c>
      <c r="I32" s="42">
        <f>MAX((I18-$C$2)*$H$1*$H$2,(($H$6*J31)+((1-$H$6)*J33))*EXP(-$C$3*$H$3))</f>
        <v>0</v>
      </c>
      <c r="K32" s="42">
        <f>MAX((K18-$C$2)*$H$1*$H$2,(($H$6*L31)+((1-$H$6)*L33))*EXP(-$C$3*$H$3))</f>
        <v>0</v>
      </c>
      <c r="L32" s="255"/>
      <c r="M32" s="715"/>
    </row>
    <row r="33" spans="6:13" x14ac:dyDescent="0.25">
      <c r="F33" s="254"/>
      <c r="H33" s="42">
        <f>MAX((H19-$C$2)*$H$1*$H$2,(($H$6*I32)+((1-$H$6)*I34))*EXP(-$C$3*$H$3))</f>
        <v>0</v>
      </c>
      <c r="J33" s="42">
        <f>MAX((J19-$C$2)*$H$1*$H$2,(($H$6*K32)+((1-$H$6)*K34))*EXP(-$C$3*$H$3))</f>
        <v>0</v>
      </c>
      <c r="L33" s="237">
        <f>IF(L19&gt;$C$2,$C$8,0)</f>
        <v>0</v>
      </c>
      <c r="M33" s="715"/>
    </row>
    <row r="34" spans="6:13" x14ac:dyDescent="0.25">
      <c r="F34" s="254"/>
      <c r="I34" s="42">
        <f>MAX((I20-$C$2)*$H$1*$H$2,(($H$6*J33)+((1-$H$6)*J35))*EXP(-$C$3*$H$3))</f>
        <v>0</v>
      </c>
      <c r="K34" s="42">
        <f>MAX((K20-$C$2)*$H$1*$H$2,(($H$6*L33)+((1-$H$6)*L35))*EXP(-$C$3*$H$3))</f>
        <v>0</v>
      </c>
      <c r="L34" s="255"/>
      <c r="M34" s="715"/>
    </row>
    <row r="35" spans="6:13" x14ac:dyDescent="0.25">
      <c r="F35" s="254"/>
      <c r="J35" s="42">
        <f>MAX((J21-$C$2)*$H$1*$H$2,(($H$6*K34)+((1-$H$6)*K36))*EXP(-$C$3*$H$3))</f>
        <v>0</v>
      </c>
      <c r="L35" s="237">
        <f>IF(L21&gt;$C$2,$C$8,0)</f>
        <v>0</v>
      </c>
      <c r="M35" s="715"/>
    </row>
    <row r="36" spans="6:13" x14ac:dyDescent="0.25">
      <c r="F36" s="254"/>
      <c r="K36" s="42">
        <f>MAX((K22-$C$2)*$H$1*$H$2,(($H$6*L35)+((1-$H$6)*L37))*EXP(-$C$3*$H$3))</f>
        <v>0</v>
      </c>
      <c r="L36" s="255"/>
      <c r="M36" s="715"/>
    </row>
    <row r="37" spans="6:13" x14ac:dyDescent="0.25">
      <c r="F37" s="238"/>
      <c r="G37" s="239"/>
      <c r="H37" s="239"/>
      <c r="I37" s="239"/>
      <c r="J37" s="239"/>
      <c r="K37" s="239"/>
      <c r="L37" s="237">
        <f>IF(L23&gt;$C$2,$C$8,0)</f>
        <v>0</v>
      </c>
      <c r="M37" s="716"/>
    </row>
  </sheetData>
  <mergeCells count="2">
    <mergeCell ref="M11:M23"/>
    <mergeCell ref="M25:M37"/>
  </mergeCells>
  <pageMargins left="0.7" right="0.7" top="0.75" bottom="0.75" header="0.3" footer="0.3"/>
  <legacy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45D72-19CE-408E-9268-0CA45388B646}">
  <dimension ref="B1:M37"/>
  <sheetViews>
    <sheetView topLeftCell="A6" workbookViewId="0">
      <selection activeCell="K26" sqref="K26"/>
    </sheetView>
  </sheetViews>
  <sheetFormatPr baseColWidth="10" defaultColWidth="8.77734375" defaultRowHeight="13.2" x14ac:dyDescent="0.25"/>
  <cols>
    <col min="1" max="1" width="8.77734375" style="42"/>
    <col min="2" max="2" width="13.109375" style="42" bestFit="1" customWidth="1"/>
    <col min="3" max="3" width="10.21875" style="42" bestFit="1" customWidth="1"/>
    <col min="4" max="6" width="8.77734375" style="42"/>
    <col min="7" max="7" width="12.21875" style="42" bestFit="1" customWidth="1"/>
    <col min="8" max="9" width="8.77734375" style="42"/>
    <col min="10" max="10" width="15.109375" style="42" bestFit="1" customWidth="1"/>
    <col min="11" max="12" width="8.77734375" style="42"/>
    <col min="13" max="13" width="15.109375" style="42" bestFit="1" customWidth="1"/>
    <col min="14" max="16384" width="8.77734375" style="42"/>
  </cols>
  <sheetData>
    <row r="1" spans="2:13" ht="22.8" x14ac:dyDescent="0.4">
      <c r="B1" s="43" t="s">
        <v>218</v>
      </c>
      <c r="C1" s="43">
        <v>100</v>
      </c>
      <c r="G1" s="43" t="s">
        <v>97</v>
      </c>
      <c r="H1" s="46">
        <f>IF(C9="C",1,-1)</f>
        <v>1</v>
      </c>
      <c r="J1" s="699" t="s">
        <v>766</v>
      </c>
      <c r="K1" s="699"/>
    </row>
    <row r="2" spans="2:13" x14ac:dyDescent="0.25">
      <c r="B2" s="43" t="s">
        <v>584</v>
      </c>
      <c r="C2" s="43">
        <v>120</v>
      </c>
      <c r="G2" s="43" t="s">
        <v>601</v>
      </c>
      <c r="H2" s="46">
        <f>IF(C10="A",1,0)</f>
        <v>0</v>
      </c>
    </row>
    <row r="3" spans="2:13" x14ac:dyDescent="0.25">
      <c r="B3" s="43" t="s">
        <v>219</v>
      </c>
      <c r="C3" s="565">
        <v>0.1</v>
      </c>
      <c r="G3" s="46" t="s">
        <v>583</v>
      </c>
      <c r="H3" s="46">
        <f>C6/C7</f>
        <v>8.3333333333333329E-2</v>
      </c>
    </row>
    <row r="4" spans="2:13" x14ac:dyDescent="0.25">
      <c r="B4" s="43" t="s">
        <v>221</v>
      </c>
      <c r="C4" s="565">
        <v>0</v>
      </c>
      <c r="G4" s="46" t="s">
        <v>224</v>
      </c>
      <c r="H4" s="46">
        <f>EXP(C5*SQRT(H3))</f>
        <v>1.0904631784921235</v>
      </c>
    </row>
    <row r="5" spans="2:13" x14ac:dyDescent="0.25">
      <c r="B5" s="43" t="s">
        <v>225</v>
      </c>
      <c r="C5" s="565">
        <v>0.3</v>
      </c>
      <c r="G5" s="46" t="s">
        <v>226</v>
      </c>
      <c r="H5" s="46">
        <f>1/H4</f>
        <v>0.91704151017990843</v>
      </c>
    </row>
    <row r="6" spans="2:13" x14ac:dyDescent="0.25">
      <c r="B6" s="43" t="s">
        <v>587</v>
      </c>
      <c r="C6" s="43">
        <v>0.5</v>
      </c>
      <c r="G6" s="46" t="s">
        <v>228</v>
      </c>
      <c r="H6" s="46">
        <f>(EXP((C3-C4)*H3)-H5)/(H4-H5)</f>
        <v>0.52661609657174513</v>
      </c>
    </row>
    <row r="7" spans="2:13" x14ac:dyDescent="0.25">
      <c r="B7" s="43" t="s">
        <v>239</v>
      </c>
      <c r="C7" s="43">
        <v>6</v>
      </c>
    </row>
    <row r="8" spans="2:13" x14ac:dyDescent="0.25">
      <c r="B8" s="43"/>
      <c r="C8" s="688"/>
    </row>
    <row r="9" spans="2:13" x14ac:dyDescent="0.25">
      <c r="B9" s="43" t="s">
        <v>97</v>
      </c>
      <c r="C9" s="46" t="s">
        <v>99</v>
      </c>
    </row>
    <row r="10" spans="2:13" x14ac:dyDescent="0.25">
      <c r="B10" s="43" t="s">
        <v>602</v>
      </c>
      <c r="C10" s="46" t="s">
        <v>458</v>
      </c>
      <c r="E10" s="43" t="s">
        <v>240</v>
      </c>
      <c r="F10" s="52">
        <v>0</v>
      </c>
      <c r="G10" s="52">
        <f>H3</f>
        <v>8.3333333333333329E-2</v>
      </c>
      <c r="H10" s="52">
        <f>$G$10*2</f>
        <v>0.16666666666666666</v>
      </c>
      <c r="I10" s="52">
        <f>$G$10*3</f>
        <v>0.25</v>
      </c>
      <c r="J10" s="52">
        <f>$G$10*4</f>
        <v>0.33333333333333331</v>
      </c>
      <c r="K10" s="52">
        <f>$G$10*5</f>
        <v>0.41666666666666663</v>
      </c>
      <c r="L10" s="52">
        <f>$G$10*6</f>
        <v>0.5</v>
      </c>
    </row>
    <row r="11" spans="2:13" x14ac:dyDescent="0.25">
      <c r="F11" s="235"/>
      <c r="G11" s="236"/>
      <c r="H11" s="236"/>
      <c r="I11" s="236"/>
      <c r="J11" s="236"/>
      <c r="K11" s="236"/>
      <c r="L11" s="45">
        <f>K12*$H$4</f>
        <v>168.13806010461735</v>
      </c>
      <c r="M11" s="714" t="s">
        <v>593</v>
      </c>
    </row>
    <row r="12" spans="2:13" x14ac:dyDescent="0.25">
      <c r="F12" s="254"/>
      <c r="K12" s="50">
        <f>J13*$H$4</f>
        <v>154.18958055705852</v>
      </c>
      <c r="L12" s="255"/>
      <c r="M12" s="715"/>
    </row>
    <row r="13" spans="2:13" x14ac:dyDescent="0.25">
      <c r="F13" s="254"/>
      <c r="J13" s="50">
        <f>I14*$H$4</f>
        <v>141.3982458080516</v>
      </c>
      <c r="L13" s="56">
        <f>J13</f>
        <v>141.3982458080516</v>
      </c>
      <c r="M13" s="715"/>
    </row>
    <row r="14" spans="2:13" x14ac:dyDescent="0.25">
      <c r="F14" s="54"/>
      <c r="G14" s="50"/>
      <c r="H14" s="50"/>
      <c r="I14" s="50">
        <f>H15*$H$4</f>
        <v>129.66806087260554</v>
      </c>
      <c r="K14" s="50">
        <f>I14</f>
        <v>129.66806087260554</v>
      </c>
      <c r="L14" s="255"/>
      <c r="M14" s="715"/>
    </row>
    <row r="15" spans="2:13" x14ac:dyDescent="0.25">
      <c r="F15" s="54"/>
      <c r="G15" s="50"/>
      <c r="H15" s="50">
        <f>G16*$H$4</f>
        <v>118.91099436471447</v>
      </c>
      <c r="I15" s="50"/>
      <c r="J15" s="50">
        <f>H15</f>
        <v>118.91099436471447</v>
      </c>
      <c r="L15" s="56">
        <f>J15</f>
        <v>118.91099436471447</v>
      </c>
      <c r="M15" s="715"/>
    </row>
    <row r="16" spans="2:13" x14ac:dyDescent="0.25">
      <c r="F16" s="54"/>
      <c r="G16" s="50">
        <f>F17*$H$4</f>
        <v>109.04631784921234</v>
      </c>
      <c r="H16" s="50"/>
      <c r="I16" s="50">
        <f>G16</f>
        <v>109.04631784921234</v>
      </c>
      <c r="K16" s="50">
        <f>I16</f>
        <v>109.04631784921234</v>
      </c>
      <c r="L16" s="255"/>
      <c r="M16" s="715"/>
    </row>
    <row r="17" spans="6:13" x14ac:dyDescent="0.25">
      <c r="F17" s="54">
        <f>C1</f>
        <v>100</v>
      </c>
      <c r="G17" s="50"/>
      <c r="H17" s="50">
        <f>F17</f>
        <v>100</v>
      </c>
      <c r="I17" s="50"/>
      <c r="J17" s="50">
        <f>H17</f>
        <v>100</v>
      </c>
      <c r="L17" s="56">
        <f>J17</f>
        <v>100</v>
      </c>
      <c r="M17" s="715"/>
    </row>
    <row r="18" spans="6:13" x14ac:dyDescent="0.25">
      <c r="F18" s="54"/>
      <c r="G18" s="50">
        <f>F17*$H$5</f>
        <v>91.704151017990839</v>
      </c>
      <c r="H18" s="50"/>
      <c r="I18" s="50">
        <f>G18</f>
        <v>91.704151017990839</v>
      </c>
      <c r="K18" s="50">
        <f>I18</f>
        <v>91.704151017990839</v>
      </c>
      <c r="L18" s="255"/>
      <c r="M18" s="715"/>
    </row>
    <row r="19" spans="6:13" x14ac:dyDescent="0.25">
      <c r="F19" s="54"/>
      <c r="G19" s="50"/>
      <c r="H19" s="50">
        <f>G18*$H$5</f>
        <v>84.096513139304705</v>
      </c>
      <c r="I19" s="50"/>
      <c r="J19" s="50">
        <f>H19</f>
        <v>84.096513139304705</v>
      </c>
      <c r="L19" s="56">
        <f>J19</f>
        <v>84.096513139304705</v>
      </c>
      <c r="M19" s="715"/>
    </row>
    <row r="20" spans="6:13" x14ac:dyDescent="0.25">
      <c r="F20" s="54"/>
      <c r="G20" s="50"/>
      <c r="H20" s="50"/>
      <c r="I20" s="50">
        <f>H19*$H$5</f>
        <v>77.119993410132494</v>
      </c>
      <c r="K20" s="50">
        <f>I20</f>
        <v>77.119993410132494</v>
      </c>
      <c r="L20" s="255"/>
      <c r="M20" s="715"/>
    </row>
    <row r="21" spans="6:13" x14ac:dyDescent="0.25">
      <c r="F21" s="54"/>
      <c r="G21" s="50"/>
      <c r="H21" s="50"/>
      <c r="I21" s="50"/>
      <c r="J21" s="50">
        <f>I20*$H$5</f>
        <v>70.72223522189249</v>
      </c>
      <c r="L21" s="56">
        <f>J21</f>
        <v>70.72223522189249</v>
      </c>
      <c r="M21" s="715"/>
    </row>
    <row r="22" spans="6:13" x14ac:dyDescent="0.25">
      <c r="F22" s="54"/>
      <c r="G22" s="50"/>
      <c r="H22" s="50"/>
      <c r="I22" s="50"/>
      <c r="K22" s="50">
        <f>J21*$H$5</f>
        <v>64.855225391182998</v>
      </c>
      <c r="L22" s="255"/>
      <c r="M22" s="715"/>
    </row>
    <row r="23" spans="6:13" x14ac:dyDescent="0.25">
      <c r="F23" s="64"/>
      <c r="G23" s="67"/>
      <c r="H23" s="67"/>
      <c r="I23" s="67"/>
      <c r="J23" s="239"/>
      <c r="K23" s="239"/>
      <c r="L23" s="58">
        <f>K22*$H$5</f>
        <v>59.474933835788796</v>
      </c>
      <c r="M23" s="716"/>
    </row>
    <row r="24" spans="6:13" x14ac:dyDescent="0.25">
      <c r="F24" s="50"/>
      <c r="G24" s="50"/>
      <c r="H24" s="50"/>
      <c r="I24" s="50"/>
      <c r="M24" s="566"/>
    </row>
    <row r="25" spans="6:13" x14ac:dyDescent="0.25">
      <c r="F25" s="51"/>
      <c r="G25" s="48"/>
      <c r="H25" s="48"/>
      <c r="I25" s="48"/>
      <c r="J25" s="236"/>
      <c r="K25" s="236"/>
      <c r="L25" s="237">
        <f>MAX((L11^2)-$C$2,0)</f>
        <v>28150.407255743918</v>
      </c>
      <c r="M25" s="714" t="s">
        <v>600</v>
      </c>
    </row>
    <row r="26" spans="6:13" x14ac:dyDescent="0.25">
      <c r="F26" s="54"/>
      <c r="G26" s="50"/>
      <c r="H26" s="50"/>
      <c r="I26" s="50"/>
      <c r="K26" s="42">
        <f>MAX((K12-$C$2)*$H$1*$H$2,(($H$6*L25)+((1-$H$6)*L27))*EXP(-$C$3*$H$3))</f>
        <v>24031.139278673803</v>
      </c>
      <c r="L26" s="255"/>
      <c r="M26" s="715"/>
    </row>
    <row r="27" spans="6:13" x14ac:dyDescent="0.25">
      <c r="F27" s="254"/>
      <c r="J27" s="42">
        <f>MAX((J13-$C$2)*$H$1*$H$2,(($H$6*K26)+((1-$H$6)*K28))*EXP(-$C$3*$H$3))</f>
        <v>20512.369914018811</v>
      </c>
      <c r="L27" s="237">
        <f>MAX((L13^2)-$C$2,0)</f>
        <v>19873.463917594181</v>
      </c>
      <c r="M27" s="715"/>
    </row>
    <row r="28" spans="6:13" x14ac:dyDescent="0.25">
      <c r="F28" s="254"/>
      <c r="I28" s="42">
        <f>MAX((I14-$C$2)*$H$1*$H$2,(($H$6*J27)+((1-$H$6)*J29))*EXP(-$C$3*$H$3))</f>
        <v>17506.578497593924</v>
      </c>
      <c r="K28" s="42">
        <f>MAX((K14-$C$2)*$H$1*$H$2,(($H$6*L27)+((1-$H$6)*L29))*EXP(-$C$3*$H$3))</f>
        <v>16960.517090553058</v>
      </c>
      <c r="L28" s="255"/>
      <c r="M28" s="715"/>
    </row>
    <row r="29" spans="6:13" x14ac:dyDescent="0.25">
      <c r="F29" s="254"/>
      <c r="H29" s="42">
        <f>MAX((H15-$C$2)*$H$1*$H$2,(($H$6*I28)+((1-$H$6)*I30))*EXP(-$C$3*$H$3))</f>
        <v>14939.000053150987</v>
      </c>
      <c r="J29" s="42">
        <f>MAX((J15-$C$2)*$H$1*$H$2,(($H$6*K28)+((1-$H$6)*K30))*EXP(-$C$3*$H$3))</f>
        <v>14472.253885107924</v>
      </c>
      <c r="L29" s="237">
        <f>MAX((L15^2)-$C$2,0)</f>
        <v>14019.824580805156</v>
      </c>
      <c r="M29" s="715"/>
    </row>
    <row r="30" spans="6:13" x14ac:dyDescent="0.25">
      <c r="F30" s="254"/>
      <c r="G30" s="42">
        <f>MAX((G16-$C$2)*$H$1*$H$2,(($H$6*H29)+((1-$H$6)*H31))*EXP(-$C$3*$H$3))</f>
        <v>12745.766217577766</v>
      </c>
      <c r="I30" s="42">
        <f>MAX((I16-$C$2)*$H$1*$H$2,(($H$6*J29)+((1-$H$6)*J31))*EXP(-$C$3*$H$3))</f>
        <v>12346.777751345478</v>
      </c>
      <c r="K30" s="42">
        <f>MAX((K16-$C$2)*$H$1*$H$2,(($H$6*L29)+((1-$H$6)*L31))*EXP(-$C$3*$H$3))</f>
        <v>11960.01503501898</v>
      </c>
      <c r="L30" s="255"/>
      <c r="M30" s="715"/>
    </row>
    <row r="31" spans="6:13" x14ac:dyDescent="0.25">
      <c r="F31" s="567">
        <f>(($H$6*G30)+((1-$H$6)*G32))*EXP(-$C$3*$H$3)</f>
        <v>10872.317116514985</v>
      </c>
      <c r="H31" s="42">
        <f>MAX((H17-$C$2)*$H$1*$H$2,(($H$6*I30)+((1-$H$6)*I32))*EXP(-$C$3*$H$3))</f>
        <v>10531.213246812671</v>
      </c>
      <c r="J31" s="42">
        <f>MAX((J17-$C$2)*$H$1*$H$2,(($H$6*K30)+((1-$H$6)*K32))*EXP(-$C$3*$H$3))</f>
        <v>10200.548819466334</v>
      </c>
      <c r="L31" s="237">
        <f>MAX((L17^2)-$C$2,0)</f>
        <v>9880</v>
      </c>
      <c r="M31" s="715"/>
    </row>
    <row r="32" spans="6:13" x14ac:dyDescent="0.25">
      <c r="F32" s="254"/>
      <c r="G32" s="42">
        <f>MAX((G18-$C$2)*$H$1*$H$2,(($H$6*H31)+((1-$H$6)*H33))*EXP(-$C$3*$H$3))</f>
        <v>8980.3912572643985</v>
      </c>
      <c r="I32" s="42">
        <f>MAX((I18-$C$2)*$H$1*$H$2,(($H$6*J31)+((1-$H$6)*J33))*EXP(-$C$3*$H$3))</f>
        <v>8697.6513306026918</v>
      </c>
      <c r="K32" s="42">
        <f>MAX((K18-$C$2)*$H$1*$H$2,(($H$6*L31)+((1-$H$6)*L33))*EXP(-$C$3*$H$3))</f>
        <v>8423.5482090285986</v>
      </c>
      <c r="L32" s="255"/>
      <c r="M32" s="715"/>
    </row>
    <row r="33" spans="6:13" x14ac:dyDescent="0.25">
      <c r="F33" s="254"/>
      <c r="H33" s="42">
        <f>MAX((H19-$C$2)*$H$1*$H$2,(($H$6*I32)+((1-$H$6)*I34))*EXP(-$C$3*$H$3))</f>
        <v>7413.9278935545472</v>
      </c>
      <c r="J33" s="42">
        <f>MAX((J19-$C$2)*$H$1*$H$2,(($H$6*K32)+((1-$H$6)*K34))*EXP(-$C$3*$H$3))</f>
        <v>7179.5035149577916</v>
      </c>
      <c r="L33" s="237">
        <f>MAX((L19^2)-$C$2,0)</f>
        <v>6952.2235221892488</v>
      </c>
      <c r="M33" s="715"/>
    </row>
    <row r="34" spans="6:13" x14ac:dyDescent="0.25">
      <c r="F34" s="254"/>
      <c r="I34" s="42">
        <f>MAX((I20-$C$2)*$H$1*$H$2,(($H$6*J33)+((1-$H$6)*J35))*EXP(-$C$3*$H$3))</f>
        <v>6116.9075597807514</v>
      </c>
      <c r="K34" s="42">
        <f>MAX((K20-$C$2)*$H$1*$H$2,(($H$6*L33)+((1-$H$6)*L35))*EXP(-$C$3*$H$3))</f>
        <v>5922.4798218074866</v>
      </c>
      <c r="L34" s="255"/>
      <c r="M34" s="715"/>
    </row>
    <row r="35" spans="6:13" x14ac:dyDescent="0.25">
      <c r="F35" s="254"/>
      <c r="J35" s="42">
        <f>MAX((J21-$C$2)*$H$1*$H$2,(($H$6*K34)+((1-$H$6)*K36))*EXP(-$C$3*$H$3))</f>
        <v>5042.9527485433209</v>
      </c>
      <c r="L35" s="237">
        <f>MAX((L21^2)-$C$2,0)</f>
        <v>4881.6345547806905</v>
      </c>
      <c r="M35" s="715"/>
    </row>
    <row r="36" spans="6:13" x14ac:dyDescent="0.25">
      <c r="F36" s="254"/>
      <c r="K36" s="42">
        <f>MAX((K22-$C$2)*$H$1*$H$2,(($H$6*L35)+((1-$H$6)*L37))*EXP(-$C$3*$H$3))</f>
        <v>4153.6683539365786</v>
      </c>
      <c r="L36" s="255"/>
      <c r="M36" s="715"/>
    </row>
    <row r="37" spans="6:13" x14ac:dyDescent="0.25">
      <c r="F37" s="238"/>
      <c r="G37" s="239"/>
      <c r="H37" s="239"/>
      <c r="I37" s="239"/>
      <c r="J37" s="239"/>
      <c r="K37" s="239"/>
      <c r="L37" s="237">
        <f>MAX((L23^2)-$C$2,0)</f>
        <v>3417.2677547714552</v>
      </c>
      <c r="M37" s="716"/>
    </row>
  </sheetData>
  <mergeCells count="2">
    <mergeCell ref="M11:M23"/>
    <mergeCell ref="M25:M37"/>
  </mergeCells>
  <pageMargins left="0.7" right="0.7" top="0.75" bottom="0.75" header="0.3" footer="0.3"/>
  <legacy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57B35-2178-4528-8F04-B79D579C4E47}">
  <dimension ref="B1:R43"/>
  <sheetViews>
    <sheetView topLeftCell="A16" zoomScale="81" zoomScaleNormal="81" workbookViewId="0">
      <selection activeCell="K32" sqref="K32"/>
    </sheetView>
  </sheetViews>
  <sheetFormatPr baseColWidth="10" defaultColWidth="8.77734375" defaultRowHeight="13.2" x14ac:dyDescent="0.25"/>
  <cols>
    <col min="1" max="1" width="8.77734375" style="42"/>
    <col min="2" max="2" width="13.109375" style="42" bestFit="1" customWidth="1"/>
    <col min="3" max="6" width="8.77734375" style="42"/>
    <col min="7" max="7" width="12.21875" style="42" bestFit="1" customWidth="1"/>
    <col min="8" max="9" width="8.77734375" style="42"/>
    <col min="10" max="10" width="15.109375" style="42" bestFit="1" customWidth="1"/>
    <col min="11" max="12" width="8.77734375" style="42"/>
    <col min="13" max="13" width="15.109375" style="42" bestFit="1" customWidth="1"/>
    <col min="14" max="15" width="8.77734375" style="42"/>
    <col min="16" max="16" width="10" style="42" bestFit="1" customWidth="1"/>
    <col min="17" max="18" width="8.88671875" style="42" bestFit="1" customWidth="1"/>
    <col min="19" max="16384" width="8.77734375" style="42"/>
  </cols>
  <sheetData>
    <row r="1" spans="2:18" x14ac:dyDescent="0.25">
      <c r="B1" s="43" t="s">
        <v>218</v>
      </c>
      <c r="C1" s="43">
        <v>100</v>
      </c>
      <c r="G1" s="43" t="s">
        <v>97</v>
      </c>
      <c r="H1" s="46">
        <f>IF(C6="C",1,-1)</f>
        <v>-1</v>
      </c>
      <c r="P1" s="794" t="s">
        <v>764</v>
      </c>
      <c r="Q1" s="794"/>
      <c r="R1" s="794"/>
    </row>
    <row r="2" spans="2:18" x14ac:dyDescent="0.25">
      <c r="B2" s="43" t="s">
        <v>584</v>
      </c>
      <c r="C2" s="43">
        <v>100</v>
      </c>
      <c r="G2" s="43" t="s">
        <v>601</v>
      </c>
      <c r="H2" s="46">
        <f>IF(C7="A",1,0)</f>
        <v>0</v>
      </c>
      <c r="P2" s="61" t="s">
        <v>240</v>
      </c>
      <c r="Q2" s="61" t="s">
        <v>754</v>
      </c>
      <c r="R2" s="61" t="s">
        <v>755</v>
      </c>
    </row>
    <row r="3" spans="2:18" x14ac:dyDescent="0.25">
      <c r="B3" s="43" t="s">
        <v>225</v>
      </c>
      <c r="C3" s="565">
        <v>0.3</v>
      </c>
      <c r="G3" s="46" t="s">
        <v>583</v>
      </c>
      <c r="H3" s="46">
        <f>C4/C5</f>
        <v>0.16666666666666666</v>
      </c>
      <c r="P3" s="693">
        <f>G16</f>
        <v>0.16666666666666666</v>
      </c>
      <c r="Q3" s="694">
        <v>0.03</v>
      </c>
      <c r="R3" s="694">
        <v>5.0000000000000001E-3</v>
      </c>
    </row>
    <row r="4" spans="2:18" x14ac:dyDescent="0.25">
      <c r="B4" s="43" t="s">
        <v>587</v>
      </c>
      <c r="C4" s="43">
        <v>1</v>
      </c>
      <c r="G4" s="46" t="s">
        <v>224</v>
      </c>
      <c r="H4" s="46">
        <f>EXP(C3*SQRT(H3))</f>
        <v>1.1302902827674572</v>
      </c>
      <c r="P4" s="695">
        <f>H16</f>
        <v>0.33333333333333331</v>
      </c>
      <c r="Q4" s="696">
        <f>Q3+0.0025</f>
        <v>3.2500000000000001E-2</v>
      </c>
      <c r="R4" s="696">
        <f>R3+0.00025</f>
        <v>5.2500000000000003E-3</v>
      </c>
    </row>
    <row r="5" spans="2:18" x14ac:dyDescent="0.25">
      <c r="B5" s="43" t="s">
        <v>239</v>
      </c>
      <c r="C5" s="43">
        <v>6</v>
      </c>
      <c r="G5" s="46" t="s">
        <v>226</v>
      </c>
      <c r="H5" s="46">
        <f>1/H4</f>
        <v>0.88472847661005438</v>
      </c>
      <c r="P5" s="695">
        <f>I16</f>
        <v>0.5</v>
      </c>
      <c r="Q5" s="696">
        <f t="shared" ref="Q5:Q7" si="0">Q4+0.0025</f>
        <v>3.5000000000000003E-2</v>
      </c>
      <c r="R5" s="696">
        <f t="shared" ref="R5:R7" si="1">R4+0.00025</f>
        <v>5.5000000000000005E-3</v>
      </c>
    </row>
    <row r="6" spans="2:18" x14ac:dyDescent="0.25">
      <c r="B6" s="47" t="s">
        <v>97</v>
      </c>
      <c r="C6" s="52" t="s">
        <v>98</v>
      </c>
      <c r="G6" s="50"/>
      <c r="H6" s="50"/>
      <c r="P6" s="695">
        <f>J16</f>
        <v>0.66666666666666663</v>
      </c>
      <c r="Q6" s="696">
        <f t="shared" si="0"/>
        <v>3.7500000000000006E-2</v>
      </c>
      <c r="R6" s="696">
        <f t="shared" si="1"/>
        <v>5.7500000000000008E-3</v>
      </c>
    </row>
    <row r="7" spans="2:18" x14ac:dyDescent="0.25">
      <c r="B7" s="43" t="s">
        <v>602</v>
      </c>
      <c r="C7" s="46" t="s">
        <v>458</v>
      </c>
      <c r="P7" s="695">
        <f>K16</f>
        <v>0.83333333333333326</v>
      </c>
      <c r="Q7" s="696">
        <f t="shared" si="0"/>
        <v>4.0000000000000008E-2</v>
      </c>
      <c r="R7" s="696">
        <f t="shared" si="1"/>
        <v>6.000000000000001E-3</v>
      </c>
    </row>
    <row r="8" spans="2:18" x14ac:dyDescent="0.25">
      <c r="P8" s="697">
        <f>L16</f>
        <v>1</v>
      </c>
      <c r="Q8" s="698">
        <f>Q7+0.0025</f>
        <v>4.250000000000001E-2</v>
      </c>
      <c r="R8" s="698">
        <f>R7+0.00025</f>
        <v>6.2500000000000012E-3</v>
      </c>
    </row>
    <row r="9" spans="2:18" x14ac:dyDescent="0.25">
      <c r="P9" s="686"/>
      <c r="Q9" s="687"/>
      <c r="R9" s="687"/>
    </row>
    <row r="10" spans="2:18" x14ac:dyDescent="0.25">
      <c r="E10" s="702" t="s">
        <v>756</v>
      </c>
      <c r="F10" s="702"/>
      <c r="G10" s="692">
        <f>Q3</f>
        <v>0.03</v>
      </c>
      <c r="H10" s="692">
        <f>Q4</f>
        <v>3.2500000000000001E-2</v>
      </c>
      <c r="I10" s="692">
        <f>Q5</f>
        <v>3.5000000000000003E-2</v>
      </c>
      <c r="J10" s="692">
        <f>Q6</f>
        <v>3.7500000000000006E-2</v>
      </c>
      <c r="K10" s="692">
        <f>Q7</f>
        <v>4.0000000000000008E-2</v>
      </c>
      <c r="L10" s="692">
        <f>Q8</f>
        <v>4.250000000000001E-2</v>
      </c>
      <c r="P10" s="686"/>
      <c r="Q10" s="687"/>
      <c r="R10" s="687"/>
    </row>
    <row r="11" spans="2:18" x14ac:dyDescent="0.25">
      <c r="E11" s="702" t="s">
        <v>757</v>
      </c>
      <c r="F11" s="702"/>
      <c r="G11" s="692">
        <f>R3</f>
        <v>5.0000000000000001E-3</v>
      </c>
      <c r="H11" s="692">
        <f>R4</f>
        <v>5.2500000000000003E-3</v>
      </c>
      <c r="I11" s="692">
        <f>R5</f>
        <v>5.5000000000000005E-3</v>
      </c>
      <c r="J11" s="692">
        <f>R6</f>
        <v>5.7500000000000008E-3</v>
      </c>
      <c r="K11" s="692">
        <f>R7</f>
        <v>6.000000000000001E-3</v>
      </c>
      <c r="L11" s="692">
        <f>R8</f>
        <v>6.2500000000000012E-3</v>
      </c>
      <c r="P11" s="686"/>
      <c r="Q11" s="687"/>
      <c r="R11" s="687"/>
    </row>
    <row r="12" spans="2:18" x14ac:dyDescent="0.25">
      <c r="E12" s="702" t="s">
        <v>758</v>
      </c>
      <c r="F12" s="702"/>
      <c r="G12" s="692">
        <f>G10</f>
        <v>0.03</v>
      </c>
      <c r="H12" s="692">
        <f>((H10*H16)-(G10*G16))/(H16-G16)</f>
        <v>3.500000000000001E-2</v>
      </c>
      <c r="I12" s="692">
        <f t="shared" ref="I12:L12" si="2">((I10*I16)-(H10*H16))/(I16-H16)</f>
        <v>0.04</v>
      </c>
      <c r="J12" s="692">
        <f t="shared" si="2"/>
        <v>4.5000000000000005E-2</v>
      </c>
      <c r="K12" s="692">
        <f t="shared" si="2"/>
        <v>5.0000000000000044E-2</v>
      </c>
      <c r="L12" s="692">
        <f t="shared" si="2"/>
        <v>5.4999999999999993E-2</v>
      </c>
      <c r="P12" s="686"/>
      <c r="Q12" s="687"/>
      <c r="R12" s="687"/>
    </row>
    <row r="13" spans="2:18" x14ac:dyDescent="0.25">
      <c r="E13" s="702" t="s">
        <v>759</v>
      </c>
      <c r="F13" s="702"/>
      <c r="G13" s="692">
        <f>G11</f>
        <v>5.0000000000000001E-3</v>
      </c>
      <c r="H13" s="692">
        <f>((H11*H16)-(G11*G16))/(H16-G16)</f>
        <v>5.5000000000000005E-3</v>
      </c>
      <c r="I13" s="692">
        <f t="shared" ref="I13:L13" si="3">((I11*I16)-(H11*H16))/(I16-H16)</f>
        <v>6.000000000000001E-3</v>
      </c>
      <c r="J13" s="692">
        <f t="shared" si="3"/>
        <v>6.5000000000000014E-3</v>
      </c>
      <c r="K13" s="692">
        <f t="shared" si="3"/>
        <v>7.000000000000001E-3</v>
      </c>
      <c r="L13" s="692">
        <f t="shared" si="3"/>
        <v>7.5000000000000032E-3</v>
      </c>
      <c r="P13" s="686"/>
      <c r="Q13" s="687"/>
      <c r="R13" s="687"/>
    </row>
    <row r="14" spans="2:18" x14ac:dyDescent="0.25">
      <c r="E14" s="702" t="s">
        <v>228</v>
      </c>
      <c r="F14" s="702"/>
      <c r="G14" s="43">
        <f>(EXP((G12-G13)*$H$3)-$H$5)/($H$4-$H$5)</f>
        <v>0.4864228869716804</v>
      </c>
      <c r="H14" s="43">
        <f t="shared" ref="H14:L14" si="4">(EXP((H12-H13)*$H$3)-$H$5)/($H$4-$H$5)</f>
        <v>0.48949101074140344</v>
      </c>
      <c r="I14" s="43">
        <f t="shared" si="4"/>
        <v>0.49256143646707856</v>
      </c>
      <c r="J14" s="43">
        <f t="shared" si="4"/>
        <v>0.49563416587582049</v>
      </c>
      <c r="K14" s="43">
        <f t="shared" si="4"/>
        <v>0.49870920069604147</v>
      </c>
      <c r="L14" s="43">
        <f t="shared" si="4"/>
        <v>0.50178654265744593</v>
      </c>
      <c r="P14" s="686"/>
      <c r="Q14" s="687"/>
      <c r="R14" s="687"/>
    </row>
    <row r="16" spans="2:18" x14ac:dyDescent="0.25">
      <c r="E16" s="43" t="s">
        <v>240</v>
      </c>
      <c r="F16" s="52">
        <v>0</v>
      </c>
      <c r="G16" s="52">
        <f>H3</f>
        <v>0.16666666666666666</v>
      </c>
      <c r="H16" s="52">
        <f>$G$16*2</f>
        <v>0.33333333333333331</v>
      </c>
      <c r="I16" s="52">
        <f>$G$16*3</f>
        <v>0.5</v>
      </c>
      <c r="J16" s="52">
        <f>$G$16*4</f>
        <v>0.66666666666666663</v>
      </c>
      <c r="K16" s="52">
        <f>$G$16*5</f>
        <v>0.83333333333333326</v>
      </c>
      <c r="L16" s="52">
        <f>$G$16*6</f>
        <v>1</v>
      </c>
    </row>
    <row r="17" spans="6:13" x14ac:dyDescent="0.25">
      <c r="F17" s="235"/>
      <c r="G17" s="236"/>
      <c r="H17" s="236"/>
      <c r="I17" s="236"/>
      <c r="J17" s="236"/>
      <c r="K17" s="236"/>
      <c r="L17" s="45">
        <f>K18*$H$4</f>
        <v>208.51627772667646</v>
      </c>
      <c r="M17" s="714" t="s">
        <v>593</v>
      </c>
    </row>
    <row r="18" spans="6:13" x14ac:dyDescent="0.25">
      <c r="F18" s="254"/>
      <c r="K18" s="50">
        <f>J19*$H$4</f>
        <v>184.48028874152146</v>
      </c>
      <c r="L18" s="255"/>
      <c r="M18" s="715"/>
    </row>
    <row r="19" spans="6:13" x14ac:dyDescent="0.25">
      <c r="F19" s="254"/>
      <c r="J19" s="50">
        <f>I20*$H$4</f>
        <v>163.21496482286923</v>
      </c>
      <c r="L19" s="56">
        <f>J19</f>
        <v>163.21496482286923</v>
      </c>
      <c r="M19" s="715"/>
    </row>
    <row r="20" spans="6:13" x14ac:dyDescent="0.25">
      <c r="F20" s="54"/>
      <c r="G20" s="50"/>
      <c r="H20" s="50"/>
      <c r="I20" s="50">
        <f>H21*$H$4</f>
        <v>144.40092718770072</v>
      </c>
      <c r="K20" s="50">
        <f>I20</f>
        <v>144.40092718770072</v>
      </c>
      <c r="L20" s="255"/>
      <c r="M20" s="715"/>
    </row>
    <row r="21" spans="6:13" x14ac:dyDescent="0.25">
      <c r="F21" s="54"/>
      <c r="G21" s="50"/>
      <c r="H21" s="50">
        <f>G22*$H$4</f>
        <v>127.75561233185384</v>
      </c>
      <c r="I21" s="50"/>
      <c r="J21" s="50">
        <f>H21</f>
        <v>127.75561233185384</v>
      </c>
      <c r="L21" s="56">
        <f>J21</f>
        <v>127.75561233185384</v>
      </c>
      <c r="M21" s="715"/>
    </row>
    <row r="22" spans="6:13" x14ac:dyDescent="0.25">
      <c r="F22" s="54"/>
      <c r="G22" s="50">
        <f>F23*$H$4</f>
        <v>113.02902827674572</v>
      </c>
      <c r="H22" s="50"/>
      <c r="I22" s="50">
        <f>G22</f>
        <v>113.02902827674572</v>
      </c>
      <c r="K22" s="50">
        <f>I22</f>
        <v>113.02902827674572</v>
      </c>
      <c r="L22" s="255"/>
      <c r="M22" s="715"/>
    </row>
    <row r="23" spans="6:13" x14ac:dyDescent="0.25">
      <c r="F23" s="54">
        <f>C1</f>
        <v>100</v>
      </c>
      <c r="G23" s="50"/>
      <c r="H23" s="50">
        <f>F23</f>
        <v>100</v>
      </c>
      <c r="I23" s="50"/>
      <c r="J23" s="50">
        <f>H23</f>
        <v>100</v>
      </c>
      <c r="L23" s="56">
        <f>J23</f>
        <v>100</v>
      </c>
      <c r="M23" s="715"/>
    </row>
    <row r="24" spans="6:13" x14ac:dyDescent="0.25">
      <c r="F24" s="54"/>
      <c r="G24" s="50">
        <f>F23*$H$5</f>
        <v>88.472847661005432</v>
      </c>
      <c r="H24" s="50"/>
      <c r="I24" s="50">
        <f>G24</f>
        <v>88.472847661005432</v>
      </c>
      <c r="K24" s="50">
        <f>I24</f>
        <v>88.472847661005432</v>
      </c>
      <c r="L24" s="255"/>
      <c r="M24" s="715"/>
    </row>
    <row r="25" spans="6:13" x14ac:dyDescent="0.25">
      <c r="F25" s="54"/>
      <c r="G25" s="50"/>
      <c r="H25" s="50">
        <f>G24*$H$5</f>
        <v>78.274447732474755</v>
      </c>
      <c r="I25" s="50"/>
      <c r="J25" s="50">
        <f>H25</f>
        <v>78.274447732474755</v>
      </c>
      <c r="L25" s="56">
        <f>J25</f>
        <v>78.274447732474755</v>
      </c>
      <c r="M25" s="715"/>
    </row>
    <row r="26" spans="6:13" x14ac:dyDescent="0.25">
      <c r="F26" s="54"/>
      <c r="G26" s="50"/>
      <c r="H26" s="50"/>
      <c r="I26" s="50">
        <f>H25*$H$5</f>
        <v>69.251632899845717</v>
      </c>
      <c r="K26" s="50">
        <f>I26</f>
        <v>69.251632899845717</v>
      </c>
      <c r="L26" s="255"/>
      <c r="M26" s="715"/>
    </row>
    <row r="27" spans="6:13" x14ac:dyDescent="0.25">
      <c r="F27" s="54"/>
      <c r="G27" s="50"/>
      <c r="H27" s="50"/>
      <c r="I27" s="50"/>
      <c r="J27" s="50">
        <f>I26*$H$5</f>
        <v>61.268891678239221</v>
      </c>
      <c r="L27" s="56">
        <f>J27</f>
        <v>61.268891678239221</v>
      </c>
      <c r="M27" s="715"/>
    </row>
    <row r="28" spans="6:13" x14ac:dyDescent="0.25">
      <c r="F28" s="54"/>
      <c r="G28" s="50"/>
      <c r="H28" s="50"/>
      <c r="I28" s="50"/>
      <c r="K28" s="50">
        <f>J27*$H$5</f>
        <v>54.206333198075022</v>
      </c>
      <c r="L28" s="255"/>
      <c r="M28" s="715"/>
    </row>
    <row r="29" spans="6:13" x14ac:dyDescent="0.25">
      <c r="F29" s="64"/>
      <c r="G29" s="67"/>
      <c r="H29" s="67"/>
      <c r="I29" s="67"/>
      <c r="J29" s="239"/>
      <c r="K29" s="239"/>
      <c r="L29" s="58">
        <f>K28*$H$5</f>
        <v>47.957886592949933</v>
      </c>
      <c r="M29" s="716"/>
    </row>
    <row r="30" spans="6:13" x14ac:dyDescent="0.25">
      <c r="F30" s="50"/>
      <c r="G30" s="50"/>
      <c r="H30" s="50"/>
      <c r="I30" s="50"/>
      <c r="M30" s="566"/>
    </row>
    <row r="31" spans="6:13" x14ac:dyDescent="0.25">
      <c r="F31" s="51"/>
      <c r="G31" s="48"/>
      <c r="H31" s="48"/>
      <c r="I31" s="48"/>
      <c r="J31" s="236"/>
      <c r="K31" s="236"/>
      <c r="L31" s="237">
        <f>MAX((L17-$C$2)*$H$1,0)</f>
        <v>0</v>
      </c>
      <c r="M31" s="714" t="s">
        <v>600</v>
      </c>
    </row>
    <row r="32" spans="6:13" x14ac:dyDescent="0.25">
      <c r="F32" s="54"/>
      <c r="G32" s="50"/>
      <c r="H32" s="50"/>
      <c r="I32" s="50"/>
      <c r="K32" s="42">
        <f>MAX((K18-$C$2)*$H$1*$H$2,((L$14*L31)+((1-L$14)*L33))*EXP(-L$12*$H$3))</f>
        <v>0</v>
      </c>
      <c r="L32" s="255"/>
      <c r="M32" s="715"/>
    </row>
    <row r="33" spans="6:13" x14ac:dyDescent="0.25">
      <c r="F33" s="254"/>
      <c r="J33" s="42">
        <f>MAX((J19-$C$2)*$H$1*$H$2,((K$14*K32)+((1-K$14)*K34))*EXP(-K$12*$H$3))</f>
        <v>0</v>
      </c>
      <c r="L33" s="255">
        <f>MAX((L19-$C$2)*$H$1,0)</f>
        <v>0</v>
      </c>
      <c r="M33" s="715"/>
    </row>
    <row r="34" spans="6:13" x14ac:dyDescent="0.25">
      <c r="F34" s="254"/>
      <c r="I34" s="42">
        <f>MAX((I20-$C$2)*$H$1*$H$2,((J$14*J33)+((1-J$14)*J35))*EXP(-J$12*$H$3))</f>
        <v>0</v>
      </c>
      <c r="K34" s="42">
        <f>MAX((K20-$C$2)*$H$1*$H$2,((L$14*L33)+((1-L$14)*L35))*EXP(-L$12*$H$3))</f>
        <v>0</v>
      </c>
      <c r="L34" s="255"/>
      <c r="M34" s="715"/>
    </row>
    <row r="35" spans="6:13" x14ac:dyDescent="0.25">
      <c r="F35" s="254"/>
      <c r="H35" s="42">
        <f>MAX((H21-$C$2)*$H$1*$H$2,((I$14*I34)+((1-I$14)*I36))*EXP(-I$12*$H$3))</f>
        <v>1.3454032826483622</v>
      </c>
      <c r="J35" s="42">
        <f>MAX((J21-$C$2)*$H$1*$H$2,((K$14*K34)+((1-K$14)*K36))*EXP(-K$12*$H$3))</f>
        <v>0</v>
      </c>
      <c r="L35" s="255">
        <f>MAX((L21-$C$2)*$H$1,0)</f>
        <v>0</v>
      </c>
      <c r="M35" s="715"/>
    </row>
    <row r="36" spans="6:13" x14ac:dyDescent="0.25">
      <c r="F36" s="254"/>
      <c r="G36" s="42">
        <f>MAX((G22-$C$2)*$H$1*$H$2,((H$14*H35)+((1-H$14)*H37))*EXP(-H$12*$H$3))</f>
        <v>4.5729931682780203</v>
      </c>
      <c r="I36" s="42">
        <f>MAX((I22-$C$2)*$H$1*$H$2,((J$14*J35)+((1-J$14)*J37))*EXP(-J$12*$H$3))</f>
        <v>2.6690967135756951</v>
      </c>
      <c r="K36" s="42">
        <f>MAX((K22-$C$2)*$H$1*$H$2,((L$14*L35)+((1-L$14)*L37))*EXP(-L$12*$H$3))</f>
        <v>0</v>
      </c>
      <c r="L36" s="255"/>
      <c r="M36" s="715"/>
    </row>
    <row r="37" spans="6:13" x14ac:dyDescent="0.25">
      <c r="F37" s="567">
        <f>((G$14*G36)+((1-G$14)*G38))*EXP(-G12*$H$3)</f>
        <v>9.4767148229118963</v>
      </c>
      <c r="H37" s="42">
        <f>MAX((H23-$C$2)*$H$1*$H$2,((I$14*I36)+((1-I$14)*I38))*EXP(-I$12*$H$3))</f>
        <v>7.7201071634602823</v>
      </c>
      <c r="J37" s="42">
        <f>MAX((J23-$C$2)*$H$1*$H$2,((K$14*K36)+((1-K$14)*K38))*EXP(-K$12*$H$3))</f>
        <v>5.3318246664458906</v>
      </c>
      <c r="L37" s="255">
        <f>MAX((L23-$C$2)*$H$1,0)</f>
        <v>0</v>
      </c>
      <c r="M37" s="715"/>
    </row>
    <row r="38" spans="6:13" x14ac:dyDescent="0.25">
      <c r="F38" s="254"/>
      <c r="G38" s="42">
        <f>MAX((G24-$C$2)*$H$1*$H$2,((H$14*H37)+((1-H$14)*H39))*EXP(-H$12*$H$3))</f>
        <v>14.213656195816979</v>
      </c>
      <c r="I38" s="42">
        <f>MAX((I24-$C$2)*$H$1*$H$2,((J$14*J37)+((1-J$14)*J39))*EXP(-J$12*$H$3))</f>
        <v>12.724796334159119</v>
      </c>
      <c r="K38" s="42">
        <f>MAX((K24-$C$2)*$H$1*$H$2,((L$14*L37)+((1-L$14)*L39))*EXP(-L$12*$H$3))</f>
        <v>10.72519622196001</v>
      </c>
      <c r="L38" s="255"/>
      <c r="M38" s="715"/>
    </row>
    <row r="39" spans="6:13" x14ac:dyDescent="0.25">
      <c r="F39" s="254"/>
      <c r="H39" s="42">
        <f>MAX((H25-$C$2)*$H$1*$H$2,((I$14*I38)+((1-I$14)*I40))*EXP(-I$12*$H$3))</f>
        <v>20.602748734300111</v>
      </c>
      <c r="J39" s="42">
        <f>MAX((J25-$C$2)*$H$1*$H$2,((K$14*K38)+((1-K$14)*K40))*EXP(-K$12*$H$3))</f>
        <v>20.179710694477013</v>
      </c>
      <c r="L39" s="255">
        <f>MAX((L25-$C$2)*$H$1,0)</f>
        <v>21.725552267525245</v>
      </c>
      <c r="M39" s="715"/>
    </row>
    <row r="40" spans="6:13" x14ac:dyDescent="0.25">
      <c r="F40" s="254"/>
      <c r="I40" s="42">
        <f>MAX((I26-$C$2)*$H$1*$H$2,((J$14*J39)+((1-J$14)*J41))*EXP(-J$12*$H$3))</f>
        <v>28.52131534631344</v>
      </c>
      <c r="K40" s="42">
        <f>MAX((K26-$C$2)*$H$1*$H$2,((L$14*L39)+((1-L$14)*L41))*EXP(-L$12*$H$3))</f>
        <v>29.922399474987358</v>
      </c>
      <c r="L40" s="255"/>
      <c r="M40" s="715"/>
    </row>
    <row r="41" spans="6:13" x14ac:dyDescent="0.25">
      <c r="F41" s="254"/>
      <c r="J41" s="42">
        <f>MAX((J27-$C$2)*$H$1*$H$2,((K$14*K40)+((1-K$14)*K42))*EXP(-K$12*$H$3))</f>
        <v>37.144219606855117</v>
      </c>
      <c r="L41" s="255">
        <f>MAX((L27-$C$2)*$H$1,0)</f>
        <v>38.731108321760779</v>
      </c>
      <c r="M41" s="715"/>
    </row>
    <row r="42" spans="6:13" x14ac:dyDescent="0.25">
      <c r="F42" s="254"/>
      <c r="K42" s="42">
        <f>MAX((K28-$C$2)*$H$1*$H$2,((L$14*L41)+((1-L$14)*L43))*EXP(-L$12*$H$3))</f>
        <v>44.948904301375201</v>
      </c>
      <c r="L42" s="255"/>
      <c r="M42" s="715"/>
    </row>
    <row r="43" spans="6:13" x14ac:dyDescent="0.25">
      <c r="F43" s="238"/>
      <c r="G43" s="239"/>
      <c r="H43" s="239"/>
      <c r="I43" s="239"/>
      <c r="J43" s="239"/>
      <c r="K43" s="239"/>
      <c r="L43" s="240">
        <f>MAX((L29-$C$2)*$H$1,0)</f>
        <v>52.042113407050067</v>
      </c>
      <c r="M43" s="716"/>
    </row>
  </sheetData>
  <mergeCells count="8">
    <mergeCell ref="P1:R1"/>
    <mergeCell ref="M17:M29"/>
    <mergeCell ref="M31:M43"/>
    <mergeCell ref="E10:F10"/>
    <mergeCell ref="E11:F11"/>
    <mergeCell ref="E12:F12"/>
    <mergeCell ref="E13:F13"/>
    <mergeCell ref="E14:F14"/>
  </mergeCells>
  <pageMargins left="0.7" right="0.7" top="0.75" bottom="0.75" header="0.3" footer="0.3"/>
  <legacy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2CDE2-305D-4C4E-BCEB-415F35ED3F24}">
  <dimension ref="A1:N132"/>
  <sheetViews>
    <sheetView topLeftCell="E1" zoomScale="110" zoomScaleNormal="110" workbookViewId="0">
      <selection activeCell="K6" sqref="K6:N6"/>
    </sheetView>
  </sheetViews>
  <sheetFormatPr baseColWidth="10" defaultColWidth="9.21875" defaultRowHeight="13.2" x14ac:dyDescent="0.25"/>
  <cols>
    <col min="1" max="1" width="20.44140625" style="42" bestFit="1" customWidth="1"/>
    <col min="2" max="8" width="9.21875" style="42"/>
    <col min="9" max="9" width="12.44140625" style="42" bestFit="1" customWidth="1"/>
    <col min="10" max="10" width="20.21875" style="42" bestFit="1" customWidth="1"/>
    <col min="11" max="16384" width="9.21875" style="42"/>
  </cols>
  <sheetData>
    <row r="1" spans="1:14" x14ac:dyDescent="0.25">
      <c r="A1" s="714" t="s">
        <v>89</v>
      </c>
      <c r="B1" s="724" t="str">
        <f>K3</f>
        <v>P</v>
      </c>
      <c r="C1" s="724" t="str">
        <f>L3</f>
        <v>P</v>
      </c>
      <c r="D1" s="724" t="str">
        <f t="shared" ref="D1:E1" si="0">M3</f>
        <v>C</v>
      </c>
      <c r="E1" s="724" t="str">
        <f t="shared" si="0"/>
        <v>P</v>
      </c>
      <c r="F1" s="723" t="s">
        <v>90</v>
      </c>
      <c r="K1" s="43" t="s">
        <v>216</v>
      </c>
      <c r="L1" s="43" t="s">
        <v>91</v>
      </c>
      <c r="M1" s="43" t="s">
        <v>92</v>
      </c>
      <c r="N1" s="43" t="s">
        <v>93</v>
      </c>
    </row>
    <row r="2" spans="1:14" x14ac:dyDescent="0.25">
      <c r="A2" s="716"/>
      <c r="B2" s="725"/>
      <c r="C2" s="725"/>
      <c r="D2" s="725"/>
      <c r="E2" s="725"/>
      <c r="F2" s="723"/>
      <c r="I2" s="714" t="s">
        <v>94</v>
      </c>
      <c r="J2" s="45" t="s">
        <v>95</v>
      </c>
      <c r="K2" s="702">
        <v>100</v>
      </c>
      <c r="L2" s="702"/>
      <c r="M2" s="702"/>
      <c r="N2" s="702"/>
    </row>
    <row r="3" spans="1:14" x14ac:dyDescent="0.25">
      <c r="A3" s="47" t="s">
        <v>96</v>
      </c>
      <c r="B3" s="757" t="s">
        <v>193</v>
      </c>
      <c r="C3" s="717"/>
      <c r="D3" s="717"/>
      <c r="E3" s="718"/>
      <c r="F3" s="714"/>
      <c r="I3" s="715"/>
      <c r="J3" s="50" t="s">
        <v>97</v>
      </c>
      <c r="K3" s="46" t="s">
        <v>98</v>
      </c>
      <c r="L3" s="46" t="s">
        <v>98</v>
      </c>
      <c r="M3" s="46" t="s">
        <v>99</v>
      </c>
      <c r="N3" s="46" t="s">
        <v>98</v>
      </c>
    </row>
    <row r="4" spans="1:14" x14ac:dyDescent="0.25">
      <c r="A4" s="51">
        <v>0</v>
      </c>
      <c r="B4" s="52">
        <f>(MAX(IF($B$1="C",1,-1)*(A4-$K$5),0)-IF($K$10="Y",$K$13*EXP($K$6*$K$9),0))*$K$4</f>
        <v>0</v>
      </c>
      <c r="C4" s="45">
        <f>(MAX(IF($C$1="C",1,-1)*(A4-$L$5),0)-IF($K$10="Y",$L$13*EXP($K$6*$K$9),0))*$L$4</f>
        <v>90</v>
      </c>
      <c r="D4" s="45">
        <f>(MAX(IF($D$1="C",1,-1)*(A4-$M$5),0)-IF($K$10="Y",$M$13*EXP($K$6*$K$9),0))*$M$4</f>
        <v>0</v>
      </c>
      <c r="E4" s="45">
        <f>(MAX(IF($E$1="C",1,-1)*(A4-$N$5),0)-IF($K$10="Y",$N$13*EXP($K$6*$K$9),0))*$N$4</f>
        <v>0</v>
      </c>
      <c r="F4" s="174">
        <f>SUM(B4:E4)</f>
        <v>90</v>
      </c>
      <c r="I4" s="715"/>
      <c r="J4" s="50" t="s">
        <v>100</v>
      </c>
      <c r="K4" s="46">
        <v>0</v>
      </c>
      <c r="L4" s="46">
        <v>1</v>
      </c>
      <c r="M4" s="46">
        <v>1</v>
      </c>
      <c r="N4" s="46">
        <v>0</v>
      </c>
    </row>
    <row r="5" spans="1:14" x14ac:dyDescent="0.25">
      <c r="A5" s="54">
        <f>A4+2</f>
        <v>2</v>
      </c>
      <c r="B5" s="55">
        <f t="shared" ref="B5:B68" si="1">(MAX(IF($B$1="C",1,-1)*(A5-$K$5),0)-IF($K$10="Y",$K$13*EXP($K$6*$K$9),0))*$K$4</f>
        <v>0</v>
      </c>
      <c r="C5" s="56">
        <f t="shared" ref="C5:C68" si="2">(MAX(IF($C$1="C",1,-1)*(A5-$L$5),0)-IF($K$10="Y",$L$13*EXP($K$6*$K$9),0))*$L$4</f>
        <v>88</v>
      </c>
      <c r="D5" s="56">
        <f t="shared" ref="D5:D68" si="3">(MAX(IF($D$1="C",1,-1)*(A5-$M$5),0)-IF($K$10="Y",$M$13*EXP($K$6*$K$9),0))*$M$4</f>
        <v>0</v>
      </c>
      <c r="E5" s="56">
        <f t="shared" ref="E5:E68" si="4">(MAX(IF($E$1="C",1,-1)*(A5-$N$5),0)-IF($K$10="Y",$N$13*EXP($K$6*$K$9),0))*$N$4</f>
        <v>0</v>
      </c>
      <c r="F5" s="175">
        <f t="shared" ref="F5:F68" si="5">SUM(B5:E5)</f>
        <v>88</v>
      </c>
      <c r="I5" s="715"/>
      <c r="J5" s="56" t="s">
        <v>101</v>
      </c>
      <c r="K5" s="46">
        <v>100</v>
      </c>
      <c r="L5" s="46">
        <v>90</v>
      </c>
      <c r="M5" s="46">
        <v>110</v>
      </c>
      <c r="N5" s="46">
        <v>110</v>
      </c>
    </row>
    <row r="6" spans="1:14" x14ac:dyDescent="0.25">
      <c r="A6" s="54">
        <f t="shared" ref="A6:A69" si="6">A5+2</f>
        <v>4</v>
      </c>
      <c r="B6" s="55">
        <f t="shared" si="1"/>
        <v>0</v>
      </c>
      <c r="C6" s="56">
        <f t="shared" si="2"/>
        <v>86</v>
      </c>
      <c r="D6" s="56">
        <f t="shared" si="3"/>
        <v>0</v>
      </c>
      <c r="E6" s="56">
        <f t="shared" si="4"/>
        <v>0</v>
      </c>
      <c r="F6" s="175">
        <f t="shared" si="5"/>
        <v>86</v>
      </c>
      <c r="I6" s="715"/>
      <c r="J6" s="56" t="s">
        <v>102</v>
      </c>
      <c r="K6" s="758">
        <v>0.02</v>
      </c>
      <c r="L6" s="719"/>
      <c r="M6" s="719"/>
      <c r="N6" s="720"/>
    </row>
    <row r="7" spans="1:14" x14ac:dyDescent="0.25">
      <c r="A7" s="54">
        <f t="shared" si="6"/>
        <v>6</v>
      </c>
      <c r="B7" s="55">
        <f t="shared" si="1"/>
        <v>0</v>
      </c>
      <c r="C7" s="56">
        <f t="shared" si="2"/>
        <v>84</v>
      </c>
      <c r="D7" s="56">
        <f t="shared" si="3"/>
        <v>0</v>
      </c>
      <c r="E7" s="56">
        <f t="shared" si="4"/>
        <v>0</v>
      </c>
      <c r="F7" s="175">
        <f t="shared" si="5"/>
        <v>84</v>
      </c>
      <c r="I7" s="715"/>
      <c r="J7" s="56" t="s">
        <v>103</v>
      </c>
      <c r="K7" s="758">
        <v>0</v>
      </c>
      <c r="L7" s="719"/>
      <c r="M7" s="719"/>
      <c r="N7" s="720"/>
    </row>
    <row r="8" spans="1:14" x14ac:dyDescent="0.25">
      <c r="A8" s="54">
        <f t="shared" si="6"/>
        <v>8</v>
      </c>
      <c r="B8" s="55">
        <f t="shared" si="1"/>
        <v>0</v>
      </c>
      <c r="C8" s="56">
        <f t="shared" si="2"/>
        <v>82</v>
      </c>
      <c r="D8" s="56">
        <f t="shared" si="3"/>
        <v>0</v>
      </c>
      <c r="E8" s="56">
        <f t="shared" si="4"/>
        <v>0</v>
      </c>
      <c r="F8" s="175">
        <f t="shared" si="5"/>
        <v>82</v>
      </c>
      <c r="I8" s="715"/>
      <c r="J8" s="56" t="s">
        <v>104</v>
      </c>
      <c r="K8" s="758">
        <v>0.3</v>
      </c>
      <c r="L8" s="719"/>
      <c r="M8" s="719"/>
      <c r="N8" s="720"/>
    </row>
    <row r="9" spans="1:14" x14ac:dyDescent="0.25">
      <c r="A9" s="54">
        <f t="shared" si="6"/>
        <v>10</v>
      </c>
      <c r="B9" s="55">
        <f t="shared" si="1"/>
        <v>0</v>
      </c>
      <c r="C9" s="56">
        <f t="shared" si="2"/>
        <v>80</v>
      </c>
      <c r="D9" s="56">
        <f t="shared" si="3"/>
        <v>0</v>
      </c>
      <c r="E9" s="56">
        <f t="shared" si="4"/>
        <v>0</v>
      </c>
      <c r="F9" s="175">
        <f t="shared" si="5"/>
        <v>80</v>
      </c>
      <c r="I9" s="715"/>
      <c r="J9" s="58" t="s">
        <v>105</v>
      </c>
      <c r="K9" s="729">
        <f>2/12</f>
        <v>0.16666666666666666</v>
      </c>
      <c r="L9" s="721"/>
      <c r="M9" s="721"/>
      <c r="N9" s="722"/>
    </row>
    <row r="10" spans="1:14" x14ac:dyDescent="0.25">
      <c r="A10" s="54">
        <f t="shared" si="6"/>
        <v>12</v>
      </c>
      <c r="B10" s="55">
        <f t="shared" si="1"/>
        <v>0</v>
      </c>
      <c r="C10" s="56">
        <f t="shared" si="2"/>
        <v>78</v>
      </c>
      <c r="D10" s="56">
        <f t="shared" si="3"/>
        <v>0</v>
      </c>
      <c r="E10" s="56">
        <f t="shared" si="4"/>
        <v>0</v>
      </c>
      <c r="F10" s="175">
        <f t="shared" si="5"/>
        <v>78</v>
      </c>
      <c r="I10" s="716"/>
      <c r="J10" s="59" t="s">
        <v>106</v>
      </c>
      <c r="K10" s="729" t="s">
        <v>239</v>
      </c>
      <c r="L10" s="721"/>
      <c r="M10" s="721"/>
      <c r="N10" s="722"/>
    </row>
    <row r="11" spans="1:14" x14ac:dyDescent="0.25">
      <c r="A11" s="54">
        <f t="shared" si="6"/>
        <v>14</v>
      </c>
      <c r="B11" s="55">
        <f t="shared" si="1"/>
        <v>0</v>
      </c>
      <c r="C11" s="56">
        <f t="shared" si="2"/>
        <v>76</v>
      </c>
      <c r="D11" s="56">
        <f t="shared" si="3"/>
        <v>0</v>
      </c>
      <c r="E11" s="56">
        <f t="shared" si="4"/>
        <v>0</v>
      </c>
      <c r="F11" s="175">
        <f t="shared" si="5"/>
        <v>76</v>
      </c>
      <c r="I11" s="41" t="s">
        <v>107</v>
      </c>
      <c r="J11" s="52" t="s">
        <v>108</v>
      </c>
      <c r="K11" s="47">
        <f>(LN($K$2/K5)+(($K$6-$K$7+(0.5*$K$8*$K$8))*$K$9))/($K$8*SQRT($K$9))</f>
        <v>8.8453796267170329E-2</v>
      </c>
      <c r="L11" s="47">
        <f>(LN($K$2/L5)+(($K$6-$K$7+(0.5*$K$8*$K$8))*$K$9))/($K$8*SQRT($K$9))</f>
        <v>0.94871880426114397</v>
      </c>
      <c r="M11" s="47">
        <f>(LN($K$2/M5)+(($K$6-$K$7+(0.5*$K$8*$K$8))*$K$9))/($K$8*SQRT($K$9))</f>
        <v>-0.68975056311121052</v>
      </c>
      <c r="N11" s="47">
        <f>(LN($K$2/N5)+(($K$6-$K$7+(0.5*$K$8*$K$8))*$K$9))/($K$8*SQRT($K$9))</f>
        <v>-0.68975056311121052</v>
      </c>
    </row>
    <row r="12" spans="1:14" x14ac:dyDescent="0.25">
      <c r="A12" s="54">
        <f t="shared" si="6"/>
        <v>16</v>
      </c>
      <c r="B12" s="55">
        <f t="shared" si="1"/>
        <v>0</v>
      </c>
      <c r="C12" s="56">
        <f t="shared" si="2"/>
        <v>74</v>
      </c>
      <c r="D12" s="56">
        <f t="shared" si="3"/>
        <v>0</v>
      </c>
      <c r="E12" s="56">
        <f t="shared" si="4"/>
        <v>0</v>
      </c>
      <c r="F12" s="175">
        <f t="shared" si="5"/>
        <v>74</v>
      </c>
      <c r="I12" s="49"/>
      <c r="J12" s="55" t="s">
        <v>109</v>
      </c>
      <c r="K12" s="60">
        <f>K11-($K$8*SQRT($K$9))</f>
        <v>-3.4020690871988571E-2</v>
      </c>
      <c r="L12" s="60">
        <f>L11-($K$8*SQRT($K$9))</f>
        <v>0.82624431712198509</v>
      </c>
      <c r="M12" s="60">
        <f>M11-($K$8*SQRT($K$9))</f>
        <v>-0.8122250502503694</v>
      </c>
      <c r="N12" s="60">
        <f>N11-($K$8*SQRT($K$9))</f>
        <v>-0.8122250502503694</v>
      </c>
    </row>
    <row r="13" spans="1:14" x14ac:dyDescent="0.25">
      <c r="A13" s="54">
        <f t="shared" si="6"/>
        <v>18</v>
      </c>
      <c r="B13" s="55">
        <f t="shared" si="1"/>
        <v>0</v>
      </c>
      <c r="C13" s="56">
        <f t="shared" si="2"/>
        <v>72</v>
      </c>
      <c r="D13" s="56">
        <f t="shared" si="3"/>
        <v>0</v>
      </c>
      <c r="E13" s="56">
        <f t="shared" si="4"/>
        <v>0</v>
      </c>
      <c r="F13" s="175">
        <f t="shared" si="5"/>
        <v>72</v>
      </c>
      <c r="I13" s="44"/>
      <c r="J13" s="61" t="s">
        <v>110</v>
      </c>
      <c r="K13" s="62">
        <f>IF(K3="C",($K$2*EXP(-$K$7*$K$9)*NORMSDIST(K11))-(K5*EXP(-$K$6*$K$9)*NORMSDIST(K12)),(-$K$2*EXP(-$K$7*$K$9)*NORMSDIST(-K11))-(-K5*EXP(-$K$6*$K$9)*NORMSDIST(-K12)))</f>
        <v>4.7102622635835161</v>
      </c>
      <c r="L13" s="62">
        <f>IF(L3="C",($K$2*EXP(-$K$7*$K$9)*NORMSDIST(L11))-(L5*EXP(-$K$6*$K$9)*NORMSDIST(L12)),(-$K$2*EXP(-$K$7*$K$9)*NORMSDIST(-L11))-(-L5*EXP(-$K$6*$K$9)*NORMSDIST(-L12)))</f>
        <v>1.1905679488754686</v>
      </c>
      <c r="M13" s="62">
        <f>IF(M3="C",($K$2*EXP(-$K$7*$K$9)*NORMSDIST(M11))-(M5*EXP(-$K$6*$K$9)*NORMSDIST(M12)),(-$K$2*EXP(-$K$7*$K$9)*NORMSDIST(-M11))-(-M5*EXP(-$K$6*$K$9)*NORMSDIST(-M12)))</f>
        <v>1.6773761400652063</v>
      </c>
      <c r="N13" s="62">
        <f>IF(N3="C",($K$2*EXP(-$K$7*$K$9)*NORMSDIST(N11))-(N5*EXP(-$K$6*$K$9)*NORMSDIST(N12)),(-$K$2*EXP(-$K$7*$K$9)*NORMSDIST(-N11))-(-N5*EXP(-$K$6*$K$9)*NORMSDIST(-N12)))</f>
        <v>11.311319906062764</v>
      </c>
    </row>
    <row r="14" spans="1:14" x14ac:dyDescent="0.25">
      <c r="A14" s="54">
        <f t="shared" si="6"/>
        <v>20</v>
      </c>
      <c r="B14" s="55">
        <f t="shared" si="1"/>
        <v>0</v>
      </c>
      <c r="C14" s="56">
        <f t="shared" si="2"/>
        <v>70</v>
      </c>
      <c r="D14" s="56">
        <f t="shared" si="3"/>
        <v>0</v>
      </c>
      <c r="E14" s="56">
        <f t="shared" si="4"/>
        <v>0</v>
      </c>
      <c r="F14" s="175">
        <f t="shared" si="5"/>
        <v>70</v>
      </c>
      <c r="K14" s="96"/>
    </row>
    <row r="15" spans="1:14" x14ac:dyDescent="0.25">
      <c r="A15" s="54">
        <f t="shared" si="6"/>
        <v>22</v>
      </c>
      <c r="B15" s="55">
        <f t="shared" si="1"/>
        <v>0</v>
      </c>
      <c r="C15" s="56">
        <f t="shared" si="2"/>
        <v>68</v>
      </c>
      <c r="D15" s="56">
        <f t="shared" si="3"/>
        <v>0</v>
      </c>
      <c r="E15" s="56">
        <f t="shared" si="4"/>
        <v>0</v>
      </c>
      <c r="F15" s="175">
        <f t="shared" si="5"/>
        <v>68</v>
      </c>
    </row>
    <row r="16" spans="1:14" x14ac:dyDescent="0.25">
      <c r="A16" s="54">
        <f t="shared" si="6"/>
        <v>24</v>
      </c>
      <c r="B16" s="55">
        <f t="shared" si="1"/>
        <v>0</v>
      </c>
      <c r="C16" s="56">
        <f t="shared" si="2"/>
        <v>66</v>
      </c>
      <c r="D16" s="56">
        <f t="shared" si="3"/>
        <v>0</v>
      </c>
      <c r="E16" s="56">
        <f t="shared" si="4"/>
        <v>0</v>
      </c>
      <c r="F16" s="175">
        <f t="shared" si="5"/>
        <v>66</v>
      </c>
    </row>
    <row r="17" spans="1:9" x14ac:dyDescent="0.25">
      <c r="A17" s="54">
        <f t="shared" si="6"/>
        <v>26</v>
      </c>
      <c r="B17" s="55">
        <f t="shared" si="1"/>
        <v>0</v>
      </c>
      <c r="C17" s="56">
        <f t="shared" si="2"/>
        <v>64</v>
      </c>
      <c r="D17" s="56">
        <f t="shared" si="3"/>
        <v>0</v>
      </c>
      <c r="E17" s="56">
        <f t="shared" si="4"/>
        <v>0</v>
      </c>
      <c r="F17" s="175">
        <f t="shared" si="5"/>
        <v>64</v>
      </c>
    </row>
    <row r="18" spans="1:9" x14ac:dyDescent="0.25">
      <c r="A18" s="54">
        <f t="shared" si="6"/>
        <v>28</v>
      </c>
      <c r="B18" s="55">
        <f t="shared" si="1"/>
        <v>0</v>
      </c>
      <c r="C18" s="56">
        <f t="shared" si="2"/>
        <v>62</v>
      </c>
      <c r="D18" s="56">
        <f t="shared" si="3"/>
        <v>0</v>
      </c>
      <c r="E18" s="56">
        <f t="shared" si="4"/>
        <v>0</v>
      </c>
      <c r="F18" s="175">
        <f t="shared" si="5"/>
        <v>62</v>
      </c>
    </row>
    <row r="19" spans="1:9" x14ac:dyDescent="0.25">
      <c r="A19" s="54">
        <f t="shared" si="6"/>
        <v>30</v>
      </c>
      <c r="B19" s="55">
        <f t="shared" si="1"/>
        <v>0</v>
      </c>
      <c r="C19" s="56">
        <f t="shared" si="2"/>
        <v>60</v>
      </c>
      <c r="D19" s="56">
        <f t="shared" si="3"/>
        <v>0</v>
      </c>
      <c r="E19" s="56">
        <f t="shared" si="4"/>
        <v>0</v>
      </c>
      <c r="F19" s="175">
        <f t="shared" si="5"/>
        <v>60</v>
      </c>
    </row>
    <row r="20" spans="1:9" x14ac:dyDescent="0.25">
      <c r="A20" s="54">
        <f t="shared" si="6"/>
        <v>32</v>
      </c>
      <c r="B20" s="55">
        <f t="shared" si="1"/>
        <v>0</v>
      </c>
      <c r="C20" s="56">
        <f t="shared" si="2"/>
        <v>58</v>
      </c>
      <c r="D20" s="56">
        <f t="shared" si="3"/>
        <v>0</v>
      </c>
      <c r="E20" s="56">
        <f t="shared" si="4"/>
        <v>0</v>
      </c>
      <c r="F20" s="175">
        <f t="shared" si="5"/>
        <v>58</v>
      </c>
    </row>
    <row r="21" spans="1:9" x14ac:dyDescent="0.25">
      <c r="A21" s="54">
        <f t="shared" si="6"/>
        <v>34</v>
      </c>
      <c r="B21" s="55">
        <f t="shared" si="1"/>
        <v>0</v>
      </c>
      <c r="C21" s="56">
        <f t="shared" si="2"/>
        <v>56</v>
      </c>
      <c r="D21" s="56">
        <f t="shared" si="3"/>
        <v>0</v>
      </c>
      <c r="E21" s="56">
        <f t="shared" si="4"/>
        <v>0</v>
      </c>
      <c r="F21" s="175">
        <f t="shared" si="5"/>
        <v>56</v>
      </c>
    </row>
    <row r="22" spans="1:9" x14ac:dyDescent="0.25">
      <c r="A22" s="54">
        <f t="shared" si="6"/>
        <v>36</v>
      </c>
      <c r="B22" s="55">
        <f t="shared" si="1"/>
        <v>0</v>
      </c>
      <c r="C22" s="56">
        <f t="shared" si="2"/>
        <v>54</v>
      </c>
      <c r="D22" s="56">
        <f t="shared" si="3"/>
        <v>0</v>
      </c>
      <c r="E22" s="56">
        <f t="shared" si="4"/>
        <v>0</v>
      </c>
      <c r="F22" s="175">
        <f t="shared" si="5"/>
        <v>54</v>
      </c>
    </row>
    <row r="23" spans="1:9" x14ac:dyDescent="0.25">
      <c r="A23" s="54">
        <f t="shared" si="6"/>
        <v>38</v>
      </c>
      <c r="B23" s="55">
        <f t="shared" si="1"/>
        <v>0</v>
      </c>
      <c r="C23" s="56">
        <f t="shared" si="2"/>
        <v>52</v>
      </c>
      <c r="D23" s="56">
        <f t="shared" si="3"/>
        <v>0</v>
      </c>
      <c r="E23" s="56">
        <f t="shared" si="4"/>
        <v>0</v>
      </c>
      <c r="F23" s="175">
        <f t="shared" si="5"/>
        <v>52</v>
      </c>
    </row>
    <row r="24" spans="1:9" x14ac:dyDescent="0.25">
      <c r="A24" s="54">
        <f t="shared" si="6"/>
        <v>40</v>
      </c>
      <c r="B24" s="55">
        <f t="shared" si="1"/>
        <v>0</v>
      </c>
      <c r="C24" s="56">
        <f t="shared" si="2"/>
        <v>50</v>
      </c>
      <c r="D24" s="56">
        <f t="shared" si="3"/>
        <v>0</v>
      </c>
      <c r="E24" s="56">
        <f t="shared" si="4"/>
        <v>0</v>
      </c>
      <c r="F24" s="175">
        <f t="shared" si="5"/>
        <v>50</v>
      </c>
    </row>
    <row r="25" spans="1:9" x14ac:dyDescent="0.25">
      <c r="A25" s="54">
        <f t="shared" si="6"/>
        <v>42</v>
      </c>
      <c r="B25" s="55">
        <f t="shared" si="1"/>
        <v>0</v>
      </c>
      <c r="C25" s="56">
        <f t="shared" si="2"/>
        <v>48</v>
      </c>
      <c r="D25" s="56">
        <f t="shared" si="3"/>
        <v>0</v>
      </c>
      <c r="E25" s="56">
        <f t="shared" si="4"/>
        <v>0</v>
      </c>
      <c r="F25" s="175">
        <f t="shared" si="5"/>
        <v>48</v>
      </c>
      <c r="I25" s="63"/>
    </row>
    <row r="26" spans="1:9" x14ac:dyDescent="0.25">
      <c r="A26" s="54">
        <f t="shared" si="6"/>
        <v>44</v>
      </c>
      <c r="B26" s="55">
        <f t="shared" si="1"/>
        <v>0</v>
      </c>
      <c r="C26" s="56">
        <f t="shared" si="2"/>
        <v>46</v>
      </c>
      <c r="D26" s="56">
        <f t="shared" si="3"/>
        <v>0</v>
      </c>
      <c r="E26" s="56">
        <f t="shared" si="4"/>
        <v>0</v>
      </c>
      <c r="F26" s="175">
        <f t="shared" si="5"/>
        <v>46</v>
      </c>
    </row>
    <row r="27" spans="1:9" x14ac:dyDescent="0.25">
      <c r="A27" s="54">
        <f t="shared" si="6"/>
        <v>46</v>
      </c>
      <c r="B27" s="55">
        <f t="shared" si="1"/>
        <v>0</v>
      </c>
      <c r="C27" s="56">
        <f t="shared" si="2"/>
        <v>44</v>
      </c>
      <c r="D27" s="56">
        <f t="shared" si="3"/>
        <v>0</v>
      </c>
      <c r="E27" s="56">
        <f t="shared" si="4"/>
        <v>0</v>
      </c>
      <c r="F27" s="175">
        <f t="shared" si="5"/>
        <v>44</v>
      </c>
    </row>
    <row r="28" spans="1:9" x14ac:dyDescent="0.25">
      <c r="A28" s="54">
        <f t="shared" si="6"/>
        <v>48</v>
      </c>
      <c r="B28" s="55">
        <f t="shared" si="1"/>
        <v>0</v>
      </c>
      <c r="C28" s="56">
        <f t="shared" si="2"/>
        <v>42</v>
      </c>
      <c r="D28" s="56">
        <f t="shared" si="3"/>
        <v>0</v>
      </c>
      <c r="E28" s="56">
        <f t="shared" si="4"/>
        <v>0</v>
      </c>
      <c r="F28" s="175">
        <f t="shared" si="5"/>
        <v>42</v>
      </c>
    </row>
    <row r="29" spans="1:9" x14ac:dyDescent="0.25">
      <c r="A29" s="54">
        <f t="shared" si="6"/>
        <v>50</v>
      </c>
      <c r="B29" s="55">
        <f t="shared" si="1"/>
        <v>0</v>
      </c>
      <c r="C29" s="56">
        <f t="shared" si="2"/>
        <v>40</v>
      </c>
      <c r="D29" s="56">
        <f t="shared" si="3"/>
        <v>0</v>
      </c>
      <c r="E29" s="56">
        <f t="shared" si="4"/>
        <v>0</v>
      </c>
      <c r="F29" s="175">
        <f t="shared" si="5"/>
        <v>40</v>
      </c>
    </row>
    <row r="30" spans="1:9" x14ac:dyDescent="0.25">
      <c r="A30" s="54">
        <f t="shared" si="6"/>
        <v>52</v>
      </c>
      <c r="B30" s="55">
        <f t="shared" si="1"/>
        <v>0</v>
      </c>
      <c r="C30" s="56">
        <f t="shared" si="2"/>
        <v>38</v>
      </c>
      <c r="D30" s="56">
        <f t="shared" si="3"/>
        <v>0</v>
      </c>
      <c r="E30" s="56">
        <f t="shared" si="4"/>
        <v>0</v>
      </c>
      <c r="F30" s="175">
        <f t="shared" si="5"/>
        <v>38</v>
      </c>
    </row>
    <row r="31" spans="1:9" x14ac:dyDescent="0.25">
      <c r="A31" s="54">
        <f t="shared" si="6"/>
        <v>54</v>
      </c>
      <c r="B31" s="55">
        <f t="shared" si="1"/>
        <v>0</v>
      </c>
      <c r="C31" s="56">
        <f t="shared" si="2"/>
        <v>36</v>
      </c>
      <c r="D31" s="56">
        <f t="shared" si="3"/>
        <v>0</v>
      </c>
      <c r="E31" s="56">
        <f t="shared" si="4"/>
        <v>0</v>
      </c>
      <c r="F31" s="175">
        <f t="shared" si="5"/>
        <v>36</v>
      </c>
    </row>
    <row r="32" spans="1:9" x14ac:dyDescent="0.25">
      <c r="A32" s="54">
        <f t="shared" si="6"/>
        <v>56</v>
      </c>
      <c r="B32" s="55">
        <f t="shared" si="1"/>
        <v>0</v>
      </c>
      <c r="C32" s="56">
        <f t="shared" si="2"/>
        <v>34</v>
      </c>
      <c r="D32" s="56">
        <f t="shared" si="3"/>
        <v>0</v>
      </c>
      <c r="E32" s="56">
        <f t="shared" si="4"/>
        <v>0</v>
      </c>
      <c r="F32" s="175">
        <f t="shared" si="5"/>
        <v>34</v>
      </c>
    </row>
    <row r="33" spans="1:6" x14ac:dyDescent="0.25">
      <c r="A33" s="54">
        <f t="shared" si="6"/>
        <v>58</v>
      </c>
      <c r="B33" s="55">
        <f t="shared" si="1"/>
        <v>0</v>
      </c>
      <c r="C33" s="56">
        <f t="shared" si="2"/>
        <v>32</v>
      </c>
      <c r="D33" s="56">
        <f t="shared" si="3"/>
        <v>0</v>
      </c>
      <c r="E33" s="56">
        <f t="shared" si="4"/>
        <v>0</v>
      </c>
      <c r="F33" s="175">
        <f t="shared" si="5"/>
        <v>32</v>
      </c>
    </row>
    <row r="34" spans="1:6" x14ac:dyDescent="0.25">
      <c r="A34" s="54">
        <f t="shared" si="6"/>
        <v>60</v>
      </c>
      <c r="B34" s="55">
        <f t="shared" si="1"/>
        <v>0</v>
      </c>
      <c r="C34" s="56">
        <f t="shared" si="2"/>
        <v>30</v>
      </c>
      <c r="D34" s="56">
        <f t="shared" si="3"/>
        <v>0</v>
      </c>
      <c r="E34" s="56">
        <f t="shared" si="4"/>
        <v>0</v>
      </c>
      <c r="F34" s="175">
        <f t="shared" si="5"/>
        <v>30</v>
      </c>
    </row>
    <row r="35" spans="1:6" x14ac:dyDescent="0.25">
      <c r="A35" s="54">
        <f t="shared" si="6"/>
        <v>62</v>
      </c>
      <c r="B35" s="55">
        <f t="shared" si="1"/>
        <v>0</v>
      </c>
      <c r="C35" s="56">
        <f t="shared" si="2"/>
        <v>28</v>
      </c>
      <c r="D35" s="56">
        <f t="shared" si="3"/>
        <v>0</v>
      </c>
      <c r="E35" s="56">
        <f t="shared" si="4"/>
        <v>0</v>
      </c>
      <c r="F35" s="175">
        <f t="shared" si="5"/>
        <v>28</v>
      </c>
    </row>
    <row r="36" spans="1:6" x14ac:dyDescent="0.25">
      <c r="A36" s="54">
        <f t="shared" si="6"/>
        <v>64</v>
      </c>
      <c r="B36" s="55">
        <f t="shared" si="1"/>
        <v>0</v>
      </c>
      <c r="C36" s="56">
        <f t="shared" si="2"/>
        <v>26</v>
      </c>
      <c r="D36" s="56">
        <f t="shared" si="3"/>
        <v>0</v>
      </c>
      <c r="E36" s="56">
        <f t="shared" si="4"/>
        <v>0</v>
      </c>
      <c r="F36" s="175">
        <f t="shared" si="5"/>
        <v>26</v>
      </c>
    </row>
    <row r="37" spans="1:6" x14ac:dyDescent="0.25">
      <c r="A37" s="54">
        <f t="shared" si="6"/>
        <v>66</v>
      </c>
      <c r="B37" s="55">
        <f t="shared" si="1"/>
        <v>0</v>
      </c>
      <c r="C37" s="56">
        <f t="shared" si="2"/>
        <v>24</v>
      </c>
      <c r="D37" s="56">
        <f t="shared" si="3"/>
        <v>0</v>
      </c>
      <c r="E37" s="56">
        <f t="shared" si="4"/>
        <v>0</v>
      </c>
      <c r="F37" s="175">
        <f t="shared" si="5"/>
        <v>24</v>
      </c>
    </row>
    <row r="38" spans="1:6" x14ac:dyDescent="0.25">
      <c r="A38" s="54">
        <f t="shared" si="6"/>
        <v>68</v>
      </c>
      <c r="B38" s="55">
        <f t="shared" si="1"/>
        <v>0</v>
      </c>
      <c r="C38" s="56">
        <f t="shared" si="2"/>
        <v>22</v>
      </c>
      <c r="D38" s="56">
        <f t="shared" si="3"/>
        <v>0</v>
      </c>
      <c r="E38" s="56">
        <f t="shared" si="4"/>
        <v>0</v>
      </c>
      <c r="F38" s="175">
        <f t="shared" si="5"/>
        <v>22</v>
      </c>
    </row>
    <row r="39" spans="1:6" x14ac:dyDescent="0.25">
      <c r="A39" s="54">
        <f t="shared" si="6"/>
        <v>70</v>
      </c>
      <c r="B39" s="55">
        <f t="shared" si="1"/>
        <v>0</v>
      </c>
      <c r="C39" s="56">
        <f t="shared" si="2"/>
        <v>20</v>
      </c>
      <c r="D39" s="56">
        <f t="shared" si="3"/>
        <v>0</v>
      </c>
      <c r="E39" s="56">
        <f t="shared" si="4"/>
        <v>0</v>
      </c>
      <c r="F39" s="175">
        <f t="shared" si="5"/>
        <v>20</v>
      </c>
    </row>
    <row r="40" spans="1:6" x14ac:dyDescent="0.25">
      <c r="A40" s="54">
        <f t="shared" si="6"/>
        <v>72</v>
      </c>
      <c r="B40" s="55">
        <f t="shared" si="1"/>
        <v>0</v>
      </c>
      <c r="C40" s="56">
        <f t="shared" si="2"/>
        <v>18</v>
      </c>
      <c r="D40" s="56">
        <f t="shared" si="3"/>
        <v>0</v>
      </c>
      <c r="E40" s="56">
        <f t="shared" si="4"/>
        <v>0</v>
      </c>
      <c r="F40" s="175">
        <f t="shared" si="5"/>
        <v>18</v>
      </c>
    </row>
    <row r="41" spans="1:6" x14ac:dyDescent="0.25">
      <c r="A41" s="54">
        <f t="shared" si="6"/>
        <v>74</v>
      </c>
      <c r="B41" s="55">
        <f t="shared" si="1"/>
        <v>0</v>
      </c>
      <c r="C41" s="56">
        <f t="shared" si="2"/>
        <v>16</v>
      </c>
      <c r="D41" s="56">
        <f t="shared" si="3"/>
        <v>0</v>
      </c>
      <c r="E41" s="56">
        <f t="shared" si="4"/>
        <v>0</v>
      </c>
      <c r="F41" s="175">
        <f t="shared" si="5"/>
        <v>16</v>
      </c>
    </row>
    <row r="42" spans="1:6" x14ac:dyDescent="0.25">
      <c r="A42" s="54">
        <f t="shared" si="6"/>
        <v>76</v>
      </c>
      <c r="B42" s="55">
        <f t="shared" si="1"/>
        <v>0</v>
      </c>
      <c r="C42" s="56">
        <f t="shared" si="2"/>
        <v>14</v>
      </c>
      <c r="D42" s="56">
        <f t="shared" si="3"/>
        <v>0</v>
      </c>
      <c r="E42" s="56">
        <f t="shared" si="4"/>
        <v>0</v>
      </c>
      <c r="F42" s="175">
        <f t="shared" si="5"/>
        <v>14</v>
      </c>
    </row>
    <row r="43" spans="1:6" x14ac:dyDescent="0.25">
      <c r="A43" s="54">
        <f t="shared" si="6"/>
        <v>78</v>
      </c>
      <c r="B43" s="55">
        <f t="shared" si="1"/>
        <v>0</v>
      </c>
      <c r="C43" s="56">
        <f t="shared" si="2"/>
        <v>12</v>
      </c>
      <c r="D43" s="56">
        <f t="shared" si="3"/>
        <v>0</v>
      </c>
      <c r="E43" s="56">
        <f t="shared" si="4"/>
        <v>0</v>
      </c>
      <c r="F43" s="175">
        <f t="shared" si="5"/>
        <v>12</v>
      </c>
    </row>
    <row r="44" spans="1:6" x14ac:dyDescent="0.25">
      <c r="A44" s="54">
        <f t="shared" si="6"/>
        <v>80</v>
      </c>
      <c r="B44" s="55">
        <f t="shared" si="1"/>
        <v>0</v>
      </c>
      <c r="C44" s="56">
        <f t="shared" si="2"/>
        <v>10</v>
      </c>
      <c r="D44" s="56">
        <f t="shared" si="3"/>
        <v>0</v>
      </c>
      <c r="E44" s="56">
        <f t="shared" si="4"/>
        <v>0</v>
      </c>
      <c r="F44" s="175">
        <f t="shared" si="5"/>
        <v>10</v>
      </c>
    </row>
    <row r="45" spans="1:6" x14ac:dyDescent="0.25">
      <c r="A45" s="54">
        <f t="shared" si="6"/>
        <v>82</v>
      </c>
      <c r="B45" s="55">
        <f t="shared" si="1"/>
        <v>0</v>
      </c>
      <c r="C45" s="56">
        <f t="shared" si="2"/>
        <v>8</v>
      </c>
      <c r="D45" s="56">
        <f t="shared" si="3"/>
        <v>0</v>
      </c>
      <c r="E45" s="56">
        <f t="shared" si="4"/>
        <v>0</v>
      </c>
      <c r="F45" s="175">
        <f t="shared" si="5"/>
        <v>8</v>
      </c>
    </row>
    <row r="46" spans="1:6" x14ac:dyDescent="0.25">
      <c r="A46" s="54">
        <f t="shared" si="6"/>
        <v>84</v>
      </c>
      <c r="B46" s="55">
        <f t="shared" si="1"/>
        <v>0</v>
      </c>
      <c r="C46" s="56">
        <f t="shared" si="2"/>
        <v>6</v>
      </c>
      <c r="D46" s="56">
        <f t="shared" si="3"/>
        <v>0</v>
      </c>
      <c r="E46" s="56">
        <f t="shared" si="4"/>
        <v>0</v>
      </c>
      <c r="F46" s="175">
        <f t="shared" si="5"/>
        <v>6</v>
      </c>
    </row>
    <row r="47" spans="1:6" x14ac:dyDescent="0.25">
      <c r="A47" s="54">
        <f t="shared" si="6"/>
        <v>86</v>
      </c>
      <c r="B47" s="55">
        <f t="shared" si="1"/>
        <v>0</v>
      </c>
      <c r="C47" s="56">
        <f t="shared" si="2"/>
        <v>4</v>
      </c>
      <c r="D47" s="56">
        <f t="shared" si="3"/>
        <v>0</v>
      </c>
      <c r="E47" s="56">
        <f t="shared" si="4"/>
        <v>0</v>
      </c>
      <c r="F47" s="175">
        <f t="shared" si="5"/>
        <v>4</v>
      </c>
    </row>
    <row r="48" spans="1:6" x14ac:dyDescent="0.25">
      <c r="A48" s="54">
        <f t="shared" si="6"/>
        <v>88</v>
      </c>
      <c r="B48" s="55">
        <f t="shared" si="1"/>
        <v>0</v>
      </c>
      <c r="C48" s="56">
        <f t="shared" si="2"/>
        <v>2</v>
      </c>
      <c r="D48" s="56">
        <f t="shared" si="3"/>
        <v>0</v>
      </c>
      <c r="E48" s="56">
        <f t="shared" si="4"/>
        <v>0</v>
      </c>
      <c r="F48" s="175">
        <f t="shared" si="5"/>
        <v>2</v>
      </c>
    </row>
    <row r="49" spans="1:6" x14ac:dyDescent="0.25">
      <c r="A49" s="54">
        <f t="shared" si="6"/>
        <v>90</v>
      </c>
      <c r="B49" s="55">
        <f t="shared" si="1"/>
        <v>0</v>
      </c>
      <c r="C49" s="56">
        <f t="shared" si="2"/>
        <v>0</v>
      </c>
      <c r="D49" s="56">
        <f t="shared" si="3"/>
        <v>0</v>
      </c>
      <c r="E49" s="56">
        <f t="shared" si="4"/>
        <v>0</v>
      </c>
      <c r="F49" s="175">
        <f t="shared" si="5"/>
        <v>0</v>
      </c>
    </row>
    <row r="50" spans="1:6" x14ac:dyDescent="0.25">
      <c r="A50" s="54">
        <f t="shared" si="6"/>
        <v>92</v>
      </c>
      <c r="B50" s="55">
        <f t="shared" si="1"/>
        <v>0</v>
      </c>
      <c r="C50" s="56">
        <f t="shared" si="2"/>
        <v>0</v>
      </c>
      <c r="D50" s="56">
        <f t="shared" si="3"/>
        <v>0</v>
      </c>
      <c r="E50" s="56">
        <f t="shared" si="4"/>
        <v>0</v>
      </c>
      <c r="F50" s="175">
        <f t="shared" si="5"/>
        <v>0</v>
      </c>
    </row>
    <row r="51" spans="1:6" x14ac:dyDescent="0.25">
      <c r="A51" s="54">
        <f t="shared" si="6"/>
        <v>94</v>
      </c>
      <c r="B51" s="55">
        <f t="shared" si="1"/>
        <v>0</v>
      </c>
      <c r="C51" s="56">
        <f t="shared" si="2"/>
        <v>0</v>
      </c>
      <c r="D51" s="56">
        <f t="shared" si="3"/>
        <v>0</v>
      </c>
      <c r="E51" s="56">
        <f t="shared" si="4"/>
        <v>0</v>
      </c>
      <c r="F51" s="175">
        <f t="shared" si="5"/>
        <v>0</v>
      </c>
    </row>
    <row r="52" spans="1:6" x14ac:dyDescent="0.25">
      <c r="A52" s="54">
        <f t="shared" si="6"/>
        <v>96</v>
      </c>
      <c r="B52" s="55">
        <f t="shared" si="1"/>
        <v>0</v>
      </c>
      <c r="C52" s="56">
        <f t="shared" si="2"/>
        <v>0</v>
      </c>
      <c r="D52" s="56">
        <f t="shared" si="3"/>
        <v>0</v>
      </c>
      <c r="E52" s="56">
        <f t="shared" si="4"/>
        <v>0</v>
      </c>
      <c r="F52" s="175">
        <f t="shared" si="5"/>
        <v>0</v>
      </c>
    </row>
    <row r="53" spans="1:6" x14ac:dyDescent="0.25">
      <c r="A53" s="54">
        <f t="shared" si="6"/>
        <v>98</v>
      </c>
      <c r="B53" s="55">
        <f t="shared" si="1"/>
        <v>0</v>
      </c>
      <c r="C53" s="56">
        <f t="shared" si="2"/>
        <v>0</v>
      </c>
      <c r="D53" s="56">
        <f t="shared" si="3"/>
        <v>0</v>
      </c>
      <c r="E53" s="56">
        <f t="shared" si="4"/>
        <v>0</v>
      </c>
      <c r="F53" s="175">
        <f t="shared" si="5"/>
        <v>0</v>
      </c>
    </row>
    <row r="54" spans="1:6" x14ac:dyDescent="0.25">
      <c r="A54" s="54">
        <f t="shared" si="6"/>
        <v>100</v>
      </c>
      <c r="B54" s="55">
        <f t="shared" si="1"/>
        <v>0</v>
      </c>
      <c r="C54" s="56">
        <f t="shared" si="2"/>
        <v>0</v>
      </c>
      <c r="D54" s="56">
        <f t="shared" si="3"/>
        <v>0</v>
      </c>
      <c r="E54" s="56">
        <f t="shared" si="4"/>
        <v>0</v>
      </c>
      <c r="F54" s="175">
        <f t="shared" si="5"/>
        <v>0</v>
      </c>
    </row>
    <row r="55" spans="1:6" x14ac:dyDescent="0.25">
      <c r="A55" s="54">
        <f t="shared" si="6"/>
        <v>102</v>
      </c>
      <c r="B55" s="55">
        <f t="shared" si="1"/>
        <v>0</v>
      </c>
      <c r="C55" s="56">
        <f t="shared" si="2"/>
        <v>0</v>
      </c>
      <c r="D55" s="56">
        <f t="shared" si="3"/>
        <v>0</v>
      </c>
      <c r="E55" s="56">
        <f t="shared" si="4"/>
        <v>0</v>
      </c>
      <c r="F55" s="175">
        <f t="shared" si="5"/>
        <v>0</v>
      </c>
    </row>
    <row r="56" spans="1:6" x14ac:dyDescent="0.25">
      <c r="A56" s="54">
        <f t="shared" si="6"/>
        <v>104</v>
      </c>
      <c r="B56" s="55">
        <f t="shared" si="1"/>
        <v>0</v>
      </c>
      <c r="C56" s="56">
        <f t="shared" si="2"/>
        <v>0</v>
      </c>
      <c r="D56" s="56">
        <f t="shared" si="3"/>
        <v>0</v>
      </c>
      <c r="E56" s="56">
        <f t="shared" si="4"/>
        <v>0</v>
      </c>
      <c r="F56" s="175">
        <f t="shared" si="5"/>
        <v>0</v>
      </c>
    </row>
    <row r="57" spans="1:6" x14ac:dyDescent="0.25">
      <c r="A57" s="54">
        <f t="shared" si="6"/>
        <v>106</v>
      </c>
      <c r="B57" s="55">
        <f t="shared" si="1"/>
        <v>0</v>
      </c>
      <c r="C57" s="56">
        <f t="shared" si="2"/>
        <v>0</v>
      </c>
      <c r="D57" s="56">
        <f t="shared" si="3"/>
        <v>0</v>
      </c>
      <c r="E57" s="56">
        <f t="shared" si="4"/>
        <v>0</v>
      </c>
      <c r="F57" s="175">
        <f t="shared" si="5"/>
        <v>0</v>
      </c>
    </row>
    <row r="58" spans="1:6" x14ac:dyDescent="0.25">
      <c r="A58" s="54">
        <f t="shared" si="6"/>
        <v>108</v>
      </c>
      <c r="B58" s="55">
        <f t="shared" si="1"/>
        <v>0</v>
      </c>
      <c r="C58" s="56">
        <f t="shared" si="2"/>
        <v>0</v>
      </c>
      <c r="D58" s="56">
        <f t="shared" si="3"/>
        <v>0</v>
      </c>
      <c r="E58" s="56">
        <f t="shared" si="4"/>
        <v>0</v>
      </c>
      <c r="F58" s="175">
        <f t="shared" si="5"/>
        <v>0</v>
      </c>
    </row>
    <row r="59" spans="1:6" x14ac:dyDescent="0.25">
      <c r="A59" s="54">
        <f t="shared" si="6"/>
        <v>110</v>
      </c>
      <c r="B59" s="55">
        <f t="shared" si="1"/>
        <v>0</v>
      </c>
      <c r="C59" s="56">
        <f t="shared" si="2"/>
        <v>0</v>
      </c>
      <c r="D59" s="56">
        <f t="shared" si="3"/>
        <v>0</v>
      </c>
      <c r="E59" s="56">
        <f t="shared" si="4"/>
        <v>0</v>
      </c>
      <c r="F59" s="175">
        <f t="shared" si="5"/>
        <v>0</v>
      </c>
    </row>
    <row r="60" spans="1:6" x14ac:dyDescent="0.25">
      <c r="A60" s="54">
        <f t="shared" si="6"/>
        <v>112</v>
      </c>
      <c r="B60" s="55">
        <f t="shared" si="1"/>
        <v>0</v>
      </c>
      <c r="C60" s="56">
        <f t="shared" si="2"/>
        <v>0</v>
      </c>
      <c r="D60" s="56">
        <f t="shared" si="3"/>
        <v>2</v>
      </c>
      <c r="E60" s="56">
        <f t="shared" si="4"/>
        <v>0</v>
      </c>
      <c r="F60" s="175">
        <f t="shared" si="5"/>
        <v>2</v>
      </c>
    </row>
    <row r="61" spans="1:6" x14ac:dyDescent="0.25">
      <c r="A61" s="54">
        <f t="shared" si="6"/>
        <v>114</v>
      </c>
      <c r="B61" s="55">
        <f t="shared" si="1"/>
        <v>0</v>
      </c>
      <c r="C61" s="56">
        <f t="shared" si="2"/>
        <v>0</v>
      </c>
      <c r="D61" s="56">
        <f t="shared" si="3"/>
        <v>4</v>
      </c>
      <c r="E61" s="56">
        <f t="shared" si="4"/>
        <v>0</v>
      </c>
      <c r="F61" s="175">
        <f t="shared" si="5"/>
        <v>4</v>
      </c>
    </row>
    <row r="62" spans="1:6" x14ac:dyDescent="0.25">
      <c r="A62" s="54">
        <f t="shared" si="6"/>
        <v>116</v>
      </c>
      <c r="B62" s="55">
        <f t="shared" si="1"/>
        <v>0</v>
      </c>
      <c r="C62" s="56">
        <f t="shared" si="2"/>
        <v>0</v>
      </c>
      <c r="D62" s="56">
        <f t="shared" si="3"/>
        <v>6</v>
      </c>
      <c r="E62" s="56">
        <f t="shared" si="4"/>
        <v>0</v>
      </c>
      <c r="F62" s="175">
        <f t="shared" si="5"/>
        <v>6</v>
      </c>
    </row>
    <row r="63" spans="1:6" x14ac:dyDescent="0.25">
      <c r="A63" s="54">
        <f t="shared" si="6"/>
        <v>118</v>
      </c>
      <c r="B63" s="55">
        <f t="shared" si="1"/>
        <v>0</v>
      </c>
      <c r="C63" s="56">
        <f t="shared" si="2"/>
        <v>0</v>
      </c>
      <c r="D63" s="56">
        <f t="shared" si="3"/>
        <v>8</v>
      </c>
      <c r="E63" s="56">
        <f t="shared" si="4"/>
        <v>0</v>
      </c>
      <c r="F63" s="175">
        <f t="shared" si="5"/>
        <v>8</v>
      </c>
    </row>
    <row r="64" spans="1:6" x14ac:dyDescent="0.25">
      <c r="A64" s="54">
        <f t="shared" si="6"/>
        <v>120</v>
      </c>
      <c r="B64" s="55">
        <f t="shared" si="1"/>
        <v>0</v>
      </c>
      <c r="C64" s="56">
        <f t="shared" si="2"/>
        <v>0</v>
      </c>
      <c r="D64" s="56">
        <f t="shared" si="3"/>
        <v>10</v>
      </c>
      <c r="E64" s="56">
        <f t="shared" si="4"/>
        <v>0</v>
      </c>
      <c r="F64" s="175">
        <f t="shared" si="5"/>
        <v>10</v>
      </c>
    </row>
    <row r="65" spans="1:6" x14ac:dyDescent="0.25">
      <c r="A65" s="54">
        <f t="shared" si="6"/>
        <v>122</v>
      </c>
      <c r="B65" s="55">
        <f t="shared" si="1"/>
        <v>0</v>
      </c>
      <c r="C65" s="56">
        <f t="shared" si="2"/>
        <v>0</v>
      </c>
      <c r="D65" s="56">
        <f t="shared" si="3"/>
        <v>12</v>
      </c>
      <c r="E65" s="56">
        <f t="shared" si="4"/>
        <v>0</v>
      </c>
      <c r="F65" s="175">
        <f t="shared" si="5"/>
        <v>12</v>
      </c>
    </row>
    <row r="66" spans="1:6" x14ac:dyDescent="0.25">
      <c r="A66" s="54">
        <f t="shared" si="6"/>
        <v>124</v>
      </c>
      <c r="B66" s="55">
        <f t="shared" si="1"/>
        <v>0</v>
      </c>
      <c r="C66" s="56">
        <f t="shared" si="2"/>
        <v>0</v>
      </c>
      <c r="D66" s="56">
        <f t="shared" si="3"/>
        <v>14</v>
      </c>
      <c r="E66" s="56">
        <f t="shared" si="4"/>
        <v>0</v>
      </c>
      <c r="F66" s="175">
        <f t="shared" si="5"/>
        <v>14</v>
      </c>
    </row>
    <row r="67" spans="1:6" x14ac:dyDescent="0.25">
      <c r="A67" s="54">
        <f t="shared" si="6"/>
        <v>126</v>
      </c>
      <c r="B67" s="55">
        <f t="shared" si="1"/>
        <v>0</v>
      </c>
      <c r="C67" s="56">
        <f t="shared" si="2"/>
        <v>0</v>
      </c>
      <c r="D67" s="56">
        <f t="shared" si="3"/>
        <v>16</v>
      </c>
      <c r="E67" s="56">
        <f t="shared" si="4"/>
        <v>0</v>
      </c>
      <c r="F67" s="175">
        <f t="shared" si="5"/>
        <v>16</v>
      </c>
    </row>
    <row r="68" spans="1:6" x14ac:dyDescent="0.25">
      <c r="A68" s="54">
        <f t="shared" si="6"/>
        <v>128</v>
      </c>
      <c r="B68" s="55">
        <f t="shared" si="1"/>
        <v>0</v>
      </c>
      <c r="C68" s="56">
        <f t="shared" si="2"/>
        <v>0</v>
      </c>
      <c r="D68" s="56">
        <f t="shared" si="3"/>
        <v>18</v>
      </c>
      <c r="E68" s="56">
        <f t="shared" si="4"/>
        <v>0</v>
      </c>
      <c r="F68" s="175">
        <f t="shared" si="5"/>
        <v>18</v>
      </c>
    </row>
    <row r="69" spans="1:6" x14ac:dyDescent="0.25">
      <c r="A69" s="54">
        <f t="shared" si="6"/>
        <v>130</v>
      </c>
      <c r="B69" s="55">
        <f t="shared" ref="B69:B104" si="7">(MAX(IF($B$1="C",1,-1)*(A69-$K$5),0)-IF($K$10="Y",$K$13*EXP($K$6*$K$9),0))*$K$4</f>
        <v>0</v>
      </c>
      <c r="C69" s="56">
        <f t="shared" ref="C69:C104" si="8">(MAX(IF($C$1="C",1,-1)*(A69-$L$5),0)-IF($K$10="Y",$L$13*EXP($K$6*$K$9),0))*$L$4</f>
        <v>0</v>
      </c>
      <c r="D69" s="56">
        <f t="shared" ref="D69:D104" si="9">(MAX(IF($D$1="C",1,-1)*(A69-$M$5),0)-IF($K$10="Y",$M$13*EXP($K$6*$K$9),0))*$M$4</f>
        <v>20</v>
      </c>
      <c r="E69" s="56">
        <f t="shared" ref="E69:E104" si="10">(MAX(IF($E$1="C",1,-1)*(A69-$N$5),0)-IF($K$10="Y",$N$13*EXP($K$6*$K$9),0))*$N$4</f>
        <v>0</v>
      </c>
      <c r="F69" s="175">
        <f t="shared" ref="F69:F104" si="11">SUM(B69:E69)</f>
        <v>20</v>
      </c>
    </row>
    <row r="70" spans="1:6" x14ac:dyDescent="0.25">
      <c r="A70" s="54">
        <f t="shared" ref="A70:A104" si="12">A69+2</f>
        <v>132</v>
      </c>
      <c r="B70" s="55">
        <f t="shared" si="7"/>
        <v>0</v>
      </c>
      <c r="C70" s="56">
        <f t="shared" si="8"/>
        <v>0</v>
      </c>
      <c r="D70" s="56">
        <f t="shared" si="9"/>
        <v>22</v>
      </c>
      <c r="E70" s="56">
        <f t="shared" si="10"/>
        <v>0</v>
      </c>
      <c r="F70" s="175">
        <f t="shared" si="11"/>
        <v>22</v>
      </c>
    </row>
    <row r="71" spans="1:6" x14ac:dyDescent="0.25">
      <c r="A71" s="54">
        <f t="shared" si="12"/>
        <v>134</v>
      </c>
      <c r="B71" s="55">
        <f t="shared" si="7"/>
        <v>0</v>
      </c>
      <c r="C71" s="56">
        <f t="shared" si="8"/>
        <v>0</v>
      </c>
      <c r="D71" s="56">
        <f t="shared" si="9"/>
        <v>24</v>
      </c>
      <c r="E71" s="56">
        <f t="shared" si="10"/>
        <v>0</v>
      </c>
      <c r="F71" s="175">
        <f t="shared" si="11"/>
        <v>24</v>
      </c>
    </row>
    <row r="72" spans="1:6" x14ac:dyDescent="0.25">
      <c r="A72" s="54">
        <f t="shared" si="12"/>
        <v>136</v>
      </c>
      <c r="B72" s="55">
        <f t="shared" si="7"/>
        <v>0</v>
      </c>
      <c r="C72" s="56">
        <f t="shared" si="8"/>
        <v>0</v>
      </c>
      <c r="D72" s="56">
        <f t="shared" si="9"/>
        <v>26</v>
      </c>
      <c r="E72" s="56">
        <f t="shared" si="10"/>
        <v>0</v>
      </c>
      <c r="F72" s="175">
        <f t="shared" si="11"/>
        <v>26</v>
      </c>
    </row>
    <row r="73" spans="1:6" x14ac:dyDescent="0.25">
      <c r="A73" s="54">
        <f t="shared" si="12"/>
        <v>138</v>
      </c>
      <c r="B73" s="55">
        <f t="shared" si="7"/>
        <v>0</v>
      </c>
      <c r="C73" s="56">
        <f t="shared" si="8"/>
        <v>0</v>
      </c>
      <c r="D73" s="56">
        <f t="shared" si="9"/>
        <v>28</v>
      </c>
      <c r="E73" s="56">
        <f t="shared" si="10"/>
        <v>0</v>
      </c>
      <c r="F73" s="175">
        <f t="shared" si="11"/>
        <v>28</v>
      </c>
    </row>
    <row r="74" spans="1:6" x14ac:dyDescent="0.25">
      <c r="A74" s="54">
        <f t="shared" si="12"/>
        <v>140</v>
      </c>
      <c r="B74" s="55">
        <f t="shared" si="7"/>
        <v>0</v>
      </c>
      <c r="C74" s="56">
        <f t="shared" si="8"/>
        <v>0</v>
      </c>
      <c r="D74" s="56">
        <f t="shared" si="9"/>
        <v>30</v>
      </c>
      <c r="E74" s="56">
        <f t="shared" si="10"/>
        <v>0</v>
      </c>
      <c r="F74" s="175">
        <f t="shared" si="11"/>
        <v>30</v>
      </c>
    </row>
    <row r="75" spans="1:6" x14ac:dyDescent="0.25">
      <c r="A75" s="54">
        <f t="shared" si="12"/>
        <v>142</v>
      </c>
      <c r="B75" s="55">
        <f t="shared" si="7"/>
        <v>0</v>
      </c>
      <c r="C75" s="56">
        <f t="shared" si="8"/>
        <v>0</v>
      </c>
      <c r="D75" s="56">
        <f t="shared" si="9"/>
        <v>32</v>
      </c>
      <c r="E75" s="56">
        <f t="shared" si="10"/>
        <v>0</v>
      </c>
      <c r="F75" s="175">
        <f t="shared" si="11"/>
        <v>32</v>
      </c>
    </row>
    <row r="76" spans="1:6" x14ac:dyDescent="0.25">
      <c r="A76" s="54">
        <f t="shared" si="12"/>
        <v>144</v>
      </c>
      <c r="B76" s="55">
        <f t="shared" si="7"/>
        <v>0</v>
      </c>
      <c r="C76" s="56">
        <f t="shared" si="8"/>
        <v>0</v>
      </c>
      <c r="D76" s="56">
        <f t="shared" si="9"/>
        <v>34</v>
      </c>
      <c r="E76" s="56">
        <f t="shared" si="10"/>
        <v>0</v>
      </c>
      <c r="F76" s="175">
        <f t="shared" si="11"/>
        <v>34</v>
      </c>
    </row>
    <row r="77" spans="1:6" x14ac:dyDescent="0.25">
      <c r="A77" s="54">
        <f t="shared" si="12"/>
        <v>146</v>
      </c>
      <c r="B77" s="55">
        <f t="shared" si="7"/>
        <v>0</v>
      </c>
      <c r="C77" s="56">
        <f t="shared" si="8"/>
        <v>0</v>
      </c>
      <c r="D77" s="56">
        <f t="shared" si="9"/>
        <v>36</v>
      </c>
      <c r="E77" s="56">
        <f t="shared" si="10"/>
        <v>0</v>
      </c>
      <c r="F77" s="175">
        <f t="shared" si="11"/>
        <v>36</v>
      </c>
    </row>
    <row r="78" spans="1:6" x14ac:dyDescent="0.25">
      <c r="A78" s="54">
        <f t="shared" si="12"/>
        <v>148</v>
      </c>
      <c r="B78" s="55">
        <f t="shared" si="7"/>
        <v>0</v>
      </c>
      <c r="C78" s="56">
        <f t="shared" si="8"/>
        <v>0</v>
      </c>
      <c r="D78" s="56">
        <f t="shared" si="9"/>
        <v>38</v>
      </c>
      <c r="E78" s="56">
        <f t="shared" si="10"/>
        <v>0</v>
      </c>
      <c r="F78" s="175">
        <f t="shared" si="11"/>
        <v>38</v>
      </c>
    </row>
    <row r="79" spans="1:6" x14ac:dyDescent="0.25">
      <c r="A79" s="54">
        <f t="shared" si="12"/>
        <v>150</v>
      </c>
      <c r="B79" s="55">
        <f t="shared" si="7"/>
        <v>0</v>
      </c>
      <c r="C79" s="56">
        <f t="shared" si="8"/>
        <v>0</v>
      </c>
      <c r="D79" s="56">
        <f t="shared" si="9"/>
        <v>40</v>
      </c>
      <c r="E79" s="56">
        <f t="shared" si="10"/>
        <v>0</v>
      </c>
      <c r="F79" s="175">
        <f t="shared" si="11"/>
        <v>40</v>
      </c>
    </row>
    <row r="80" spans="1:6" x14ac:dyDescent="0.25">
      <c r="A80" s="54">
        <f t="shared" si="12"/>
        <v>152</v>
      </c>
      <c r="B80" s="55">
        <f t="shared" si="7"/>
        <v>0</v>
      </c>
      <c r="C80" s="56">
        <f t="shared" si="8"/>
        <v>0</v>
      </c>
      <c r="D80" s="56">
        <f t="shared" si="9"/>
        <v>42</v>
      </c>
      <c r="E80" s="56">
        <f t="shared" si="10"/>
        <v>0</v>
      </c>
      <c r="F80" s="175">
        <f t="shared" si="11"/>
        <v>42</v>
      </c>
    </row>
    <row r="81" spans="1:6" x14ac:dyDescent="0.25">
      <c r="A81" s="54">
        <f t="shared" si="12"/>
        <v>154</v>
      </c>
      <c r="B81" s="55">
        <f t="shared" si="7"/>
        <v>0</v>
      </c>
      <c r="C81" s="56">
        <f t="shared" si="8"/>
        <v>0</v>
      </c>
      <c r="D81" s="56">
        <f t="shared" si="9"/>
        <v>44</v>
      </c>
      <c r="E81" s="56">
        <f t="shared" si="10"/>
        <v>0</v>
      </c>
      <c r="F81" s="175">
        <f t="shared" si="11"/>
        <v>44</v>
      </c>
    </row>
    <row r="82" spans="1:6" x14ac:dyDescent="0.25">
      <c r="A82" s="54">
        <f t="shared" si="12"/>
        <v>156</v>
      </c>
      <c r="B82" s="55">
        <f t="shared" si="7"/>
        <v>0</v>
      </c>
      <c r="C82" s="56">
        <f t="shared" si="8"/>
        <v>0</v>
      </c>
      <c r="D82" s="56">
        <f t="shared" si="9"/>
        <v>46</v>
      </c>
      <c r="E82" s="56">
        <f t="shared" si="10"/>
        <v>0</v>
      </c>
      <c r="F82" s="175">
        <f t="shared" si="11"/>
        <v>46</v>
      </c>
    </row>
    <row r="83" spans="1:6" x14ac:dyDescent="0.25">
      <c r="A83" s="54">
        <f t="shared" si="12"/>
        <v>158</v>
      </c>
      <c r="B83" s="55">
        <f t="shared" si="7"/>
        <v>0</v>
      </c>
      <c r="C83" s="56">
        <f t="shared" si="8"/>
        <v>0</v>
      </c>
      <c r="D83" s="56">
        <f t="shared" si="9"/>
        <v>48</v>
      </c>
      <c r="E83" s="56">
        <f t="shared" si="10"/>
        <v>0</v>
      </c>
      <c r="F83" s="175">
        <f t="shared" si="11"/>
        <v>48</v>
      </c>
    </row>
    <row r="84" spans="1:6" x14ac:dyDescent="0.25">
      <c r="A84" s="54">
        <f t="shared" si="12"/>
        <v>160</v>
      </c>
      <c r="B84" s="55">
        <f t="shared" si="7"/>
        <v>0</v>
      </c>
      <c r="C84" s="56">
        <f t="shared" si="8"/>
        <v>0</v>
      </c>
      <c r="D84" s="56">
        <f t="shared" si="9"/>
        <v>50</v>
      </c>
      <c r="E84" s="56">
        <f t="shared" si="10"/>
        <v>0</v>
      </c>
      <c r="F84" s="175">
        <f t="shared" si="11"/>
        <v>50</v>
      </c>
    </row>
    <row r="85" spans="1:6" x14ac:dyDescent="0.25">
      <c r="A85" s="54">
        <f t="shared" si="12"/>
        <v>162</v>
      </c>
      <c r="B85" s="55">
        <f t="shared" si="7"/>
        <v>0</v>
      </c>
      <c r="C85" s="56">
        <f t="shared" si="8"/>
        <v>0</v>
      </c>
      <c r="D85" s="56">
        <f t="shared" si="9"/>
        <v>52</v>
      </c>
      <c r="E85" s="56">
        <f t="shared" si="10"/>
        <v>0</v>
      </c>
      <c r="F85" s="175">
        <f t="shared" si="11"/>
        <v>52</v>
      </c>
    </row>
    <row r="86" spans="1:6" x14ac:dyDescent="0.25">
      <c r="A86" s="54">
        <f t="shared" si="12"/>
        <v>164</v>
      </c>
      <c r="B86" s="55">
        <f t="shared" si="7"/>
        <v>0</v>
      </c>
      <c r="C86" s="56">
        <f t="shared" si="8"/>
        <v>0</v>
      </c>
      <c r="D86" s="56">
        <f t="shared" si="9"/>
        <v>54</v>
      </c>
      <c r="E86" s="56">
        <f t="shared" si="10"/>
        <v>0</v>
      </c>
      <c r="F86" s="175">
        <f t="shared" si="11"/>
        <v>54</v>
      </c>
    </row>
    <row r="87" spans="1:6" x14ac:dyDescent="0.25">
      <c r="A87" s="54">
        <f t="shared" si="12"/>
        <v>166</v>
      </c>
      <c r="B87" s="55">
        <f t="shared" si="7"/>
        <v>0</v>
      </c>
      <c r="C87" s="56">
        <f t="shared" si="8"/>
        <v>0</v>
      </c>
      <c r="D87" s="56">
        <f t="shared" si="9"/>
        <v>56</v>
      </c>
      <c r="E87" s="56">
        <f t="shared" si="10"/>
        <v>0</v>
      </c>
      <c r="F87" s="175">
        <f t="shared" si="11"/>
        <v>56</v>
      </c>
    </row>
    <row r="88" spans="1:6" x14ac:dyDescent="0.25">
      <c r="A88" s="54">
        <f t="shared" si="12"/>
        <v>168</v>
      </c>
      <c r="B88" s="55">
        <f t="shared" si="7"/>
        <v>0</v>
      </c>
      <c r="C88" s="56">
        <f t="shared" si="8"/>
        <v>0</v>
      </c>
      <c r="D88" s="56">
        <f t="shared" si="9"/>
        <v>58</v>
      </c>
      <c r="E88" s="56">
        <f t="shared" si="10"/>
        <v>0</v>
      </c>
      <c r="F88" s="175">
        <f t="shared" si="11"/>
        <v>58</v>
      </c>
    </row>
    <row r="89" spans="1:6" x14ac:dyDescent="0.25">
      <c r="A89" s="54">
        <f t="shared" si="12"/>
        <v>170</v>
      </c>
      <c r="B89" s="55">
        <f t="shared" si="7"/>
        <v>0</v>
      </c>
      <c r="C89" s="56">
        <f t="shared" si="8"/>
        <v>0</v>
      </c>
      <c r="D89" s="56">
        <f t="shared" si="9"/>
        <v>60</v>
      </c>
      <c r="E89" s="56">
        <f t="shared" si="10"/>
        <v>0</v>
      </c>
      <c r="F89" s="175">
        <f t="shared" si="11"/>
        <v>60</v>
      </c>
    </row>
    <row r="90" spans="1:6" x14ac:dyDescent="0.25">
      <c r="A90" s="54">
        <f t="shared" si="12"/>
        <v>172</v>
      </c>
      <c r="B90" s="55">
        <f t="shared" si="7"/>
        <v>0</v>
      </c>
      <c r="C90" s="56">
        <f t="shared" si="8"/>
        <v>0</v>
      </c>
      <c r="D90" s="56">
        <f t="shared" si="9"/>
        <v>62</v>
      </c>
      <c r="E90" s="56">
        <f t="shared" si="10"/>
        <v>0</v>
      </c>
      <c r="F90" s="175">
        <f t="shared" si="11"/>
        <v>62</v>
      </c>
    </row>
    <row r="91" spans="1:6" x14ac:dyDescent="0.25">
      <c r="A91" s="54">
        <f t="shared" si="12"/>
        <v>174</v>
      </c>
      <c r="B91" s="55">
        <f t="shared" si="7"/>
        <v>0</v>
      </c>
      <c r="C91" s="56">
        <f t="shared" si="8"/>
        <v>0</v>
      </c>
      <c r="D91" s="56">
        <f t="shared" si="9"/>
        <v>64</v>
      </c>
      <c r="E91" s="56">
        <f t="shared" si="10"/>
        <v>0</v>
      </c>
      <c r="F91" s="175">
        <f t="shared" si="11"/>
        <v>64</v>
      </c>
    </row>
    <row r="92" spans="1:6" x14ac:dyDescent="0.25">
      <c r="A92" s="54">
        <f t="shared" si="12"/>
        <v>176</v>
      </c>
      <c r="B92" s="55">
        <f t="shared" si="7"/>
        <v>0</v>
      </c>
      <c r="C92" s="56">
        <f t="shared" si="8"/>
        <v>0</v>
      </c>
      <c r="D92" s="56">
        <f t="shared" si="9"/>
        <v>66</v>
      </c>
      <c r="E92" s="56">
        <f t="shared" si="10"/>
        <v>0</v>
      </c>
      <c r="F92" s="175">
        <f t="shared" si="11"/>
        <v>66</v>
      </c>
    </row>
    <row r="93" spans="1:6" x14ac:dyDescent="0.25">
      <c r="A93" s="54">
        <f t="shared" si="12"/>
        <v>178</v>
      </c>
      <c r="B93" s="55">
        <f t="shared" si="7"/>
        <v>0</v>
      </c>
      <c r="C93" s="56">
        <f t="shared" si="8"/>
        <v>0</v>
      </c>
      <c r="D93" s="56">
        <f t="shared" si="9"/>
        <v>68</v>
      </c>
      <c r="E93" s="56">
        <f t="shared" si="10"/>
        <v>0</v>
      </c>
      <c r="F93" s="175">
        <f t="shared" si="11"/>
        <v>68</v>
      </c>
    </row>
    <row r="94" spans="1:6" x14ac:dyDescent="0.25">
      <c r="A94" s="54">
        <f t="shared" si="12"/>
        <v>180</v>
      </c>
      <c r="B94" s="55">
        <f t="shared" si="7"/>
        <v>0</v>
      </c>
      <c r="C94" s="56">
        <f t="shared" si="8"/>
        <v>0</v>
      </c>
      <c r="D94" s="56">
        <f t="shared" si="9"/>
        <v>70</v>
      </c>
      <c r="E94" s="56">
        <f t="shared" si="10"/>
        <v>0</v>
      </c>
      <c r="F94" s="175">
        <f t="shared" si="11"/>
        <v>70</v>
      </c>
    </row>
    <row r="95" spans="1:6" x14ac:dyDescent="0.25">
      <c r="A95" s="54">
        <f t="shared" si="12"/>
        <v>182</v>
      </c>
      <c r="B95" s="55">
        <f t="shared" si="7"/>
        <v>0</v>
      </c>
      <c r="C95" s="56">
        <f t="shared" si="8"/>
        <v>0</v>
      </c>
      <c r="D95" s="56">
        <f t="shared" si="9"/>
        <v>72</v>
      </c>
      <c r="E95" s="56">
        <f t="shared" si="10"/>
        <v>0</v>
      </c>
      <c r="F95" s="175">
        <f t="shared" si="11"/>
        <v>72</v>
      </c>
    </row>
    <row r="96" spans="1:6" x14ac:dyDescent="0.25">
      <c r="A96" s="54">
        <f t="shared" si="12"/>
        <v>184</v>
      </c>
      <c r="B96" s="55">
        <f t="shared" si="7"/>
        <v>0</v>
      </c>
      <c r="C96" s="56">
        <f t="shared" si="8"/>
        <v>0</v>
      </c>
      <c r="D96" s="56">
        <f t="shared" si="9"/>
        <v>74</v>
      </c>
      <c r="E96" s="56">
        <f t="shared" si="10"/>
        <v>0</v>
      </c>
      <c r="F96" s="175">
        <f t="shared" si="11"/>
        <v>74</v>
      </c>
    </row>
    <row r="97" spans="1:6" x14ac:dyDescent="0.25">
      <c r="A97" s="54">
        <f t="shared" si="12"/>
        <v>186</v>
      </c>
      <c r="B97" s="55">
        <f t="shared" si="7"/>
        <v>0</v>
      </c>
      <c r="C97" s="56">
        <f t="shared" si="8"/>
        <v>0</v>
      </c>
      <c r="D97" s="56">
        <f t="shared" si="9"/>
        <v>76</v>
      </c>
      <c r="E97" s="56">
        <f t="shared" si="10"/>
        <v>0</v>
      </c>
      <c r="F97" s="175">
        <f t="shared" si="11"/>
        <v>76</v>
      </c>
    </row>
    <row r="98" spans="1:6" x14ac:dyDescent="0.25">
      <c r="A98" s="54">
        <f t="shared" si="12"/>
        <v>188</v>
      </c>
      <c r="B98" s="55">
        <f t="shared" si="7"/>
        <v>0</v>
      </c>
      <c r="C98" s="56">
        <f t="shared" si="8"/>
        <v>0</v>
      </c>
      <c r="D98" s="56">
        <f t="shared" si="9"/>
        <v>78</v>
      </c>
      <c r="E98" s="56">
        <f t="shared" si="10"/>
        <v>0</v>
      </c>
      <c r="F98" s="175">
        <f t="shared" si="11"/>
        <v>78</v>
      </c>
    </row>
    <row r="99" spans="1:6" x14ac:dyDescent="0.25">
      <c r="A99" s="54">
        <f t="shared" si="12"/>
        <v>190</v>
      </c>
      <c r="B99" s="55">
        <f t="shared" si="7"/>
        <v>0</v>
      </c>
      <c r="C99" s="56">
        <f t="shared" si="8"/>
        <v>0</v>
      </c>
      <c r="D99" s="56">
        <f t="shared" si="9"/>
        <v>80</v>
      </c>
      <c r="E99" s="56">
        <f t="shared" si="10"/>
        <v>0</v>
      </c>
      <c r="F99" s="175">
        <f t="shared" si="11"/>
        <v>80</v>
      </c>
    </row>
    <row r="100" spans="1:6" x14ac:dyDescent="0.25">
      <c r="A100" s="54">
        <f t="shared" si="12"/>
        <v>192</v>
      </c>
      <c r="B100" s="55">
        <f t="shared" si="7"/>
        <v>0</v>
      </c>
      <c r="C100" s="56">
        <f t="shared" si="8"/>
        <v>0</v>
      </c>
      <c r="D100" s="56">
        <f t="shared" si="9"/>
        <v>82</v>
      </c>
      <c r="E100" s="56">
        <f t="shared" si="10"/>
        <v>0</v>
      </c>
      <c r="F100" s="175">
        <f t="shared" si="11"/>
        <v>82</v>
      </c>
    </row>
    <row r="101" spans="1:6" x14ac:dyDescent="0.25">
      <c r="A101" s="54">
        <f t="shared" si="12"/>
        <v>194</v>
      </c>
      <c r="B101" s="55">
        <f t="shared" si="7"/>
        <v>0</v>
      </c>
      <c r="C101" s="56">
        <f t="shared" si="8"/>
        <v>0</v>
      </c>
      <c r="D101" s="56">
        <f t="shared" si="9"/>
        <v>84</v>
      </c>
      <c r="E101" s="56">
        <f t="shared" si="10"/>
        <v>0</v>
      </c>
      <c r="F101" s="175">
        <f t="shared" si="11"/>
        <v>84</v>
      </c>
    </row>
    <row r="102" spans="1:6" x14ac:dyDescent="0.25">
      <c r="A102" s="54">
        <f t="shared" si="12"/>
        <v>196</v>
      </c>
      <c r="B102" s="55">
        <f t="shared" si="7"/>
        <v>0</v>
      </c>
      <c r="C102" s="56">
        <f t="shared" si="8"/>
        <v>0</v>
      </c>
      <c r="D102" s="56">
        <f t="shared" si="9"/>
        <v>86</v>
      </c>
      <c r="E102" s="56">
        <f t="shared" si="10"/>
        <v>0</v>
      </c>
      <c r="F102" s="175">
        <f t="shared" si="11"/>
        <v>86</v>
      </c>
    </row>
    <row r="103" spans="1:6" x14ac:dyDescent="0.25">
      <c r="A103" s="54">
        <f t="shared" si="12"/>
        <v>198</v>
      </c>
      <c r="B103" s="55">
        <f t="shared" si="7"/>
        <v>0</v>
      </c>
      <c r="C103" s="56">
        <f t="shared" si="8"/>
        <v>0</v>
      </c>
      <c r="D103" s="56">
        <f t="shared" si="9"/>
        <v>88</v>
      </c>
      <c r="E103" s="56">
        <f t="shared" si="10"/>
        <v>0</v>
      </c>
      <c r="F103" s="175">
        <f t="shared" si="11"/>
        <v>88</v>
      </c>
    </row>
    <row r="104" spans="1:6" x14ac:dyDescent="0.25">
      <c r="A104" s="64">
        <f t="shared" si="12"/>
        <v>200</v>
      </c>
      <c r="B104" s="65">
        <f t="shared" si="7"/>
        <v>0</v>
      </c>
      <c r="C104" s="58">
        <f t="shared" si="8"/>
        <v>0</v>
      </c>
      <c r="D104" s="58">
        <f t="shared" si="9"/>
        <v>90</v>
      </c>
      <c r="E104" s="58">
        <f t="shared" si="10"/>
        <v>0</v>
      </c>
      <c r="F104" s="176">
        <f t="shared" si="11"/>
        <v>90</v>
      </c>
    </row>
    <row r="105" spans="1:6" x14ac:dyDescent="0.25">
      <c r="A105" s="54"/>
    </row>
    <row r="106" spans="1:6" x14ac:dyDescent="0.25">
      <c r="A106" s="54"/>
    </row>
    <row r="107" spans="1:6" x14ac:dyDescent="0.25">
      <c r="A107" s="54"/>
    </row>
    <row r="108" spans="1:6" x14ac:dyDescent="0.25">
      <c r="A108" s="54"/>
    </row>
    <row r="109" spans="1:6" x14ac:dyDescent="0.25">
      <c r="A109" s="54"/>
    </row>
    <row r="110" spans="1:6" x14ac:dyDescent="0.25">
      <c r="A110" s="54"/>
    </row>
    <row r="111" spans="1:6" x14ac:dyDescent="0.25">
      <c r="A111" s="54"/>
    </row>
    <row r="112" spans="1:6"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4">
    <mergeCell ref="A1:A2"/>
    <mergeCell ref="B1:B2"/>
    <mergeCell ref="C1:C2"/>
    <mergeCell ref="D1:D2"/>
    <mergeCell ref="E1:E2"/>
    <mergeCell ref="I2:I10"/>
    <mergeCell ref="K2:N2"/>
    <mergeCell ref="B3:E3"/>
    <mergeCell ref="K6:N6"/>
    <mergeCell ref="K7:N7"/>
    <mergeCell ref="K8:N8"/>
    <mergeCell ref="K9:N9"/>
    <mergeCell ref="K10:N10"/>
    <mergeCell ref="F1:F3"/>
  </mergeCells>
  <pageMargins left="0.75" right="0.75" top="1" bottom="1" header="0.5" footer="0.5"/>
  <pageSetup orientation="portrait" r:id="rId1"/>
  <headerFooter alignWithMargins="0"/>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6258E-8559-458D-BFFB-F05B730B2847}">
  <dimension ref="A1:R132"/>
  <sheetViews>
    <sheetView topLeftCell="I1" zoomScale="92" zoomScaleNormal="110" workbookViewId="0">
      <selection activeCell="M13" sqref="M13"/>
    </sheetView>
  </sheetViews>
  <sheetFormatPr baseColWidth="10" defaultColWidth="9.21875" defaultRowHeight="13.2" x14ac:dyDescent="0.25"/>
  <cols>
    <col min="1" max="1" width="20.44140625" style="42" bestFit="1" customWidth="1"/>
    <col min="2" max="10" width="9.21875" style="42"/>
    <col min="11" max="11" width="12.44140625" style="42" bestFit="1" customWidth="1"/>
    <col min="12" max="12" width="20.21875" style="42" bestFit="1" customWidth="1"/>
    <col min="13" max="16384" width="9.21875" style="42"/>
  </cols>
  <sheetData>
    <row r="1" spans="1:18" x14ac:dyDescent="0.25">
      <c r="A1" s="714" t="s">
        <v>89</v>
      </c>
      <c r="B1" s="724" t="str">
        <f>M3</f>
        <v>P</v>
      </c>
      <c r="C1" s="724" t="str">
        <f>N3</f>
        <v>P</v>
      </c>
      <c r="D1" s="724" t="str">
        <f>O3</f>
        <v>C</v>
      </c>
      <c r="E1" s="724" t="str">
        <f t="shared" ref="E1" si="0">P3</f>
        <v>C</v>
      </c>
      <c r="F1" s="714" t="str">
        <f>Q3</f>
        <v>C</v>
      </c>
      <c r="G1" s="714" t="str">
        <f>R3</f>
        <v>P</v>
      </c>
      <c r="H1" s="723" t="s">
        <v>90</v>
      </c>
      <c r="M1" s="43" t="s">
        <v>216</v>
      </c>
      <c r="N1" s="43" t="s">
        <v>91</v>
      </c>
      <c r="O1" s="43" t="s">
        <v>92</v>
      </c>
      <c r="P1" s="43" t="s">
        <v>93</v>
      </c>
      <c r="Q1" s="43" t="s">
        <v>767</v>
      </c>
      <c r="R1" s="43" t="s">
        <v>768</v>
      </c>
    </row>
    <row r="2" spans="1:18" x14ac:dyDescent="0.25">
      <c r="A2" s="716"/>
      <c r="B2" s="725"/>
      <c r="C2" s="725"/>
      <c r="D2" s="725"/>
      <c r="E2" s="725"/>
      <c r="F2" s="716"/>
      <c r="G2" s="716"/>
      <c r="H2" s="723"/>
      <c r="K2" s="714" t="s">
        <v>94</v>
      </c>
      <c r="L2" s="45" t="s">
        <v>95</v>
      </c>
      <c r="M2" s="702">
        <v>110</v>
      </c>
      <c r="N2" s="702"/>
      <c r="O2" s="702"/>
      <c r="P2" s="702"/>
      <c r="Q2" s="43"/>
      <c r="R2" s="43"/>
    </row>
    <row r="3" spans="1:18" x14ac:dyDescent="0.25">
      <c r="A3" s="47" t="s">
        <v>96</v>
      </c>
      <c r="B3" s="757" t="s">
        <v>193</v>
      </c>
      <c r="C3" s="717"/>
      <c r="D3" s="717"/>
      <c r="E3" s="718"/>
      <c r="F3" s="45"/>
      <c r="G3" s="45"/>
      <c r="H3" s="714"/>
      <c r="K3" s="715"/>
      <c r="L3" s="50" t="s">
        <v>97</v>
      </c>
      <c r="M3" s="61" t="s">
        <v>98</v>
      </c>
      <c r="N3" s="46" t="s">
        <v>98</v>
      </c>
      <c r="O3" s="61" t="s">
        <v>99</v>
      </c>
      <c r="P3" s="46" t="s">
        <v>99</v>
      </c>
      <c r="Q3" s="700" t="s">
        <v>99</v>
      </c>
      <c r="R3" s="46" t="s">
        <v>98</v>
      </c>
    </row>
    <row r="4" spans="1:18" x14ac:dyDescent="0.25">
      <c r="A4" s="51">
        <v>0</v>
      </c>
      <c r="B4" s="52">
        <f t="shared" ref="B4:B35" si="1">(MAX(IF($B$1="C",1,-1)*(A4-$M$5),0)-IF($M$10="Y",$M$13*EXP($M$6*$M$9),0))*$M$4</f>
        <v>55</v>
      </c>
      <c r="C4" s="45">
        <f t="shared" ref="C4:C35" si="2">(MAX(IF($C$1="C",1,-1)*(A4-$N$5),0)-IF($M$10="Y",$N$13*EXP($M$6*$M$9),0))*$N$4</f>
        <v>50</v>
      </c>
      <c r="D4" s="45">
        <f t="shared" ref="D4:D35" si="3">(MAX(IF($D$1="C",1,-1)*(A4-$O$5),0)-IF($M$10="Y",$O$13*EXP($M$6*$M$9),0))*$O$4</f>
        <v>0</v>
      </c>
      <c r="E4" s="45">
        <f t="shared" ref="E4:E35" si="4">(MAX(IF($E$1="C",1,-1)*(A4-$P$5),0)-IF($M$10="Y",$P$13*EXP($M$6*$M$9),0))*$P$4</f>
        <v>0</v>
      </c>
      <c r="F4" s="45">
        <f>(MAX(IF($F$1="C",1,-1)*(A4-$Q$5),0)-IF($M$10="Y",$Q$13*EXP($M$6*$M$9),0))*$Q$4</f>
        <v>0</v>
      </c>
      <c r="G4" s="45">
        <f>(MAX(IF($G$1="C",1,-1)*(A4-$R$5),0)-IF($M$10="Y",$R$13*EXP($M$6*$M$9),0))*$R$4</f>
        <v>-45</v>
      </c>
      <c r="H4" s="174">
        <f>SUM(B4:G4)</f>
        <v>60</v>
      </c>
      <c r="K4" s="715"/>
      <c r="L4" s="50" t="s">
        <v>100</v>
      </c>
      <c r="M4" s="61">
        <v>0.5</v>
      </c>
      <c r="N4" s="46">
        <v>0.5</v>
      </c>
      <c r="O4" s="61">
        <v>0.5</v>
      </c>
      <c r="P4" s="46">
        <v>0.5</v>
      </c>
      <c r="Q4" s="46">
        <v>-0.5</v>
      </c>
      <c r="R4" s="43">
        <v>-0.5</v>
      </c>
    </row>
    <row r="5" spans="1:18" x14ac:dyDescent="0.25">
      <c r="A5" s="54">
        <f>A4+2</f>
        <v>2</v>
      </c>
      <c r="B5" s="55">
        <f t="shared" si="1"/>
        <v>54</v>
      </c>
      <c r="C5" s="56">
        <f t="shared" si="2"/>
        <v>49</v>
      </c>
      <c r="D5" s="56">
        <f t="shared" si="3"/>
        <v>0</v>
      </c>
      <c r="E5" s="56">
        <f t="shared" si="4"/>
        <v>0</v>
      </c>
      <c r="F5" s="45">
        <f t="shared" ref="F5:F68" si="5">(MAX(IF($F$1="C",1,-1)*(A5-$Q$5),0)-IF($M$10="Y",$Q$13*EXP($M$6*$M$9),0))*$Q$4</f>
        <v>0</v>
      </c>
      <c r="G5" s="45">
        <f t="shared" ref="G5:G68" si="6">(MAX(IF($G$1="C",1,-1)*(A5-$R$5),0)-IF($M$10="Y",$R$13*EXP($M$6*$M$9),0))*$R$4</f>
        <v>-44</v>
      </c>
      <c r="H5" s="174">
        <f t="shared" ref="H5:H68" si="7">SUM(B5:G5)</f>
        <v>59</v>
      </c>
      <c r="K5" s="715"/>
      <c r="L5" s="56" t="s">
        <v>101</v>
      </c>
      <c r="M5" s="61">
        <v>110</v>
      </c>
      <c r="N5" s="46">
        <v>100</v>
      </c>
      <c r="O5" s="61">
        <v>90</v>
      </c>
      <c r="P5" s="46">
        <v>100</v>
      </c>
      <c r="Q5" s="46">
        <v>110</v>
      </c>
      <c r="R5" s="43">
        <v>90</v>
      </c>
    </row>
    <row r="6" spans="1:18" x14ac:dyDescent="0.25">
      <c r="A6" s="54">
        <f t="shared" ref="A6:A69" si="8">A5+2</f>
        <v>4</v>
      </c>
      <c r="B6" s="55">
        <f t="shared" si="1"/>
        <v>53</v>
      </c>
      <c r="C6" s="56">
        <f t="shared" si="2"/>
        <v>48</v>
      </c>
      <c r="D6" s="56">
        <f t="shared" si="3"/>
        <v>0</v>
      </c>
      <c r="E6" s="56">
        <f t="shared" si="4"/>
        <v>0</v>
      </c>
      <c r="F6" s="45">
        <f t="shared" si="5"/>
        <v>0</v>
      </c>
      <c r="G6" s="45">
        <f t="shared" si="6"/>
        <v>-43</v>
      </c>
      <c r="H6" s="174">
        <f t="shared" si="7"/>
        <v>58</v>
      </c>
      <c r="K6" s="715"/>
      <c r="L6" s="56" t="s">
        <v>102</v>
      </c>
      <c r="M6" s="758">
        <v>0.04</v>
      </c>
      <c r="N6" s="719"/>
      <c r="O6" s="719"/>
      <c r="P6" s="720"/>
      <c r="Q6" s="43"/>
      <c r="R6" s="43"/>
    </row>
    <row r="7" spans="1:18" x14ac:dyDescent="0.25">
      <c r="A7" s="54">
        <f t="shared" si="8"/>
        <v>6</v>
      </c>
      <c r="B7" s="55">
        <f t="shared" si="1"/>
        <v>52</v>
      </c>
      <c r="C7" s="56">
        <f t="shared" si="2"/>
        <v>47</v>
      </c>
      <c r="D7" s="56">
        <f t="shared" si="3"/>
        <v>0</v>
      </c>
      <c r="E7" s="56">
        <f t="shared" si="4"/>
        <v>0</v>
      </c>
      <c r="F7" s="45">
        <f t="shared" si="5"/>
        <v>0</v>
      </c>
      <c r="G7" s="45">
        <f t="shared" si="6"/>
        <v>-42</v>
      </c>
      <c r="H7" s="174">
        <f t="shared" si="7"/>
        <v>57</v>
      </c>
      <c r="K7" s="715"/>
      <c r="L7" s="56" t="s">
        <v>103</v>
      </c>
      <c r="M7" s="758">
        <v>0.01</v>
      </c>
      <c r="N7" s="719"/>
      <c r="O7" s="719"/>
      <c r="P7" s="720"/>
      <c r="Q7" s="43"/>
      <c r="R7" s="43"/>
    </row>
    <row r="8" spans="1:18" x14ac:dyDescent="0.25">
      <c r="A8" s="54">
        <f t="shared" si="8"/>
        <v>8</v>
      </c>
      <c r="B8" s="55">
        <f t="shared" si="1"/>
        <v>51</v>
      </c>
      <c r="C8" s="56">
        <f t="shared" si="2"/>
        <v>46</v>
      </c>
      <c r="D8" s="56">
        <f t="shared" si="3"/>
        <v>0</v>
      </c>
      <c r="E8" s="56">
        <f t="shared" si="4"/>
        <v>0</v>
      </c>
      <c r="F8" s="45">
        <f t="shared" si="5"/>
        <v>0</v>
      </c>
      <c r="G8" s="45">
        <f t="shared" si="6"/>
        <v>-41</v>
      </c>
      <c r="H8" s="174">
        <f t="shared" si="7"/>
        <v>56</v>
      </c>
      <c r="K8" s="715"/>
      <c r="L8" s="56" t="s">
        <v>104</v>
      </c>
      <c r="M8" s="758">
        <v>0.3</v>
      </c>
      <c r="N8" s="719"/>
      <c r="O8" s="719"/>
      <c r="P8" s="720"/>
      <c r="Q8" s="43"/>
      <c r="R8" s="43"/>
    </row>
    <row r="9" spans="1:18" x14ac:dyDescent="0.25">
      <c r="A9" s="54">
        <f t="shared" si="8"/>
        <v>10</v>
      </c>
      <c r="B9" s="55">
        <f t="shared" si="1"/>
        <v>50</v>
      </c>
      <c r="C9" s="56">
        <f t="shared" si="2"/>
        <v>45</v>
      </c>
      <c r="D9" s="56">
        <f t="shared" si="3"/>
        <v>0</v>
      </c>
      <c r="E9" s="56">
        <f t="shared" si="4"/>
        <v>0</v>
      </c>
      <c r="F9" s="45">
        <f t="shared" si="5"/>
        <v>0</v>
      </c>
      <c r="G9" s="45">
        <f t="shared" si="6"/>
        <v>-40</v>
      </c>
      <c r="H9" s="174">
        <f t="shared" si="7"/>
        <v>55</v>
      </c>
      <c r="K9" s="715"/>
      <c r="L9" s="58" t="s">
        <v>105</v>
      </c>
      <c r="M9" s="729">
        <f>12/12</f>
        <v>1</v>
      </c>
      <c r="N9" s="721"/>
      <c r="O9" s="721"/>
      <c r="P9" s="722"/>
      <c r="Q9" s="43"/>
      <c r="R9" s="43"/>
    </row>
    <row r="10" spans="1:18" x14ac:dyDescent="0.25">
      <c r="A10" s="54">
        <f t="shared" si="8"/>
        <v>12</v>
      </c>
      <c r="B10" s="55">
        <f t="shared" si="1"/>
        <v>49</v>
      </c>
      <c r="C10" s="56">
        <f t="shared" si="2"/>
        <v>44</v>
      </c>
      <c r="D10" s="56">
        <f t="shared" si="3"/>
        <v>0</v>
      </c>
      <c r="E10" s="56">
        <f t="shared" si="4"/>
        <v>0</v>
      </c>
      <c r="F10" s="45">
        <f t="shared" si="5"/>
        <v>0</v>
      </c>
      <c r="G10" s="45">
        <f t="shared" si="6"/>
        <v>-39</v>
      </c>
      <c r="H10" s="174">
        <f t="shared" si="7"/>
        <v>54</v>
      </c>
      <c r="K10" s="716"/>
      <c r="L10" s="59" t="s">
        <v>106</v>
      </c>
      <c r="M10" s="729" t="s">
        <v>239</v>
      </c>
      <c r="N10" s="721"/>
      <c r="O10" s="721"/>
      <c r="P10" s="722"/>
      <c r="Q10" s="43"/>
      <c r="R10" s="43"/>
    </row>
    <row r="11" spans="1:18" x14ac:dyDescent="0.25">
      <c r="A11" s="54">
        <f t="shared" si="8"/>
        <v>14</v>
      </c>
      <c r="B11" s="55">
        <f t="shared" si="1"/>
        <v>48</v>
      </c>
      <c r="C11" s="56">
        <f t="shared" si="2"/>
        <v>43</v>
      </c>
      <c r="D11" s="56">
        <f t="shared" si="3"/>
        <v>0</v>
      </c>
      <c r="E11" s="56">
        <f t="shared" si="4"/>
        <v>0</v>
      </c>
      <c r="F11" s="45">
        <f t="shared" si="5"/>
        <v>0</v>
      </c>
      <c r="G11" s="45">
        <f t="shared" si="6"/>
        <v>-38</v>
      </c>
      <c r="H11" s="174">
        <f t="shared" si="7"/>
        <v>53</v>
      </c>
      <c r="K11" s="41" t="s">
        <v>107</v>
      </c>
      <c r="L11" s="52" t="s">
        <v>108</v>
      </c>
      <c r="M11" s="47">
        <f t="shared" ref="M11:R11" si="9">(LN($M$2/M5)+(($M$6-$M$7+(0.5*$M$8*$M$8))*$M$9))/($M$8*SQRT($M$9))</f>
        <v>0.25</v>
      </c>
      <c r="N11" s="47">
        <f t="shared" si="9"/>
        <v>0.56770059934774986</v>
      </c>
      <c r="O11" s="47">
        <f t="shared" si="9"/>
        <v>0.91890231820717083</v>
      </c>
      <c r="P11" s="47">
        <f t="shared" si="9"/>
        <v>0.56770059934774986</v>
      </c>
      <c r="Q11" s="47">
        <f t="shared" si="9"/>
        <v>0.25</v>
      </c>
      <c r="R11" s="47">
        <f t="shared" si="9"/>
        <v>0.91890231820717083</v>
      </c>
    </row>
    <row r="12" spans="1:18" x14ac:dyDescent="0.25">
      <c r="A12" s="54">
        <f t="shared" si="8"/>
        <v>16</v>
      </c>
      <c r="B12" s="55">
        <f t="shared" si="1"/>
        <v>47</v>
      </c>
      <c r="C12" s="56">
        <f t="shared" si="2"/>
        <v>42</v>
      </c>
      <c r="D12" s="56">
        <f t="shared" si="3"/>
        <v>0</v>
      </c>
      <c r="E12" s="56">
        <f t="shared" si="4"/>
        <v>0</v>
      </c>
      <c r="F12" s="45">
        <f t="shared" si="5"/>
        <v>0</v>
      </c>
      <c r="G12" s="45">
        <f t="shared" si="6"/>
        <v>-37</v>
      </c>
      <c r="H12" s="174">
        <f t="shared" si="7"/>
        <v>52</v>
      </c>
      <c r="K12" s="49"/>
      <c r="L12" s="55" t="s">
        <v>109</v>
      </c>
      <c r="M12" s="60">
        <f t="shared" ref="M12:R12" si="10">M11-($M$8*SQRT($M$9))</f>
        <v>-4.9999999999999989E-2</v>
      </c>
      <c r="N12" s="60">
        <f t="shared" si="10"/>
        <v>0.26770059934774987</v>
      </c>
      <c r="O12" s="60">
        <f t="shared" si="10"/>
        <v>0.6189023182071709</v>
      </c>
      <c r="P12" s="60">
        <f t="shared" si="10"/>
        <v>0.26770059934774987</v>
      </c>
      <c r="Q12" s="60">
        <f t="shared" si="10"/>
        <v>-4.9999999999999989E-2</v>
      </c>
      <c r="R12" s="60">
        <f t="shared" si="10"/>
        <v>0.6189023182071709</v>
      </c>
    </row>
    <row r="13" spans="1:18" x14ac:dyDescent="0.25">
      <c r="A13" s="54">
        <f t="shared" si="8"/>
        <v>18</v>
      </c>
      <c r="B13" s="55">
        <f t="shared" si="1"/>
        <v>46</v>
      </c>
      <c r="C13" s="56">
        <f t="shared" si="2"/>
        <v>41</v>
      </c>
      <c r="D13" s="56">
        <f t="shared" si="3"/>
        <v>0</v>
      </c>
      <c r="E13" s="56">
        <f t="shared" si="4"/>
        <v>0</v>
      </c>
      <c r="F13" s="45">
        <f t="shared" si="5"/>
        <v>0</v>
      </c>
      <c r="G13" s="45">
        <f t="shared" si="6"/>
        <v>-36</v>
      </c>
      <c r="H13" s="174">
        <f t="shared" si="7"/>
        <v>51</v>
      </c>
      <c r="K13" s="44"/>
      <c r="L13" s="61" t="s">
        <v>110</v>
      </c>
      <c r="M13" s="62">
        <f t="shared" ref="M13:R13" si="11">IF(M3="C",($M$2*EXP(-$M$7*$M$9)*NORMSDIST(M11))-(M5*EXP(-$M$6*$M$9)*NORMSDIST(M12)),(-$M$2*EXP(-$M$7*$M$9)*NORMSDIST(-M11))-(-M5*EXP(-$M$6*$M$9)*NORMSDIST(-M12)))</f>
        <v>11.24760759240408</v>
      </c>
      <c r="N13" s="62">
        <f t="shared" si="11"/>
        <v>6.8487329144049625</v>
      </c>
      <c r="O13" s="62">
        <f t="shared" si="11"/>
        <v>26.105771839535862</v>
      </c>
      <c r="P13" s="62">
        <f t="shared" si="11"/>
        <v>19.675270711581121</v>
      </c>
      <c r="Q13" s="62">
        <f t="shared" si="11"/>
        <v>14.466250998057021</v>
      </c>
      <c r="R13" s="62">
        <f t="shared" si="11"/>
        <v>3.6713396508364617</v>
      </c>
    </row>
    <row r="14" spans="1:18" x14ac:dyDescent="0.25">
      <c r="A14" s="54">
        <f t="shared" si="8"/>
        <v>20</v>
      </c>
      <c r="B14" s="55">
        <f t="shared" si="1"/>
        <v>45</v>
      </c>
      <c r="C14" s="56">
        <f t="shared" si="2"/>
        <v>40</v>
      </c>
      <c r="D14" s="56">
        <f t="shared" si="3"/>
        <v>0</v>
      </c>
      <c r="E14" s="56">
        <f t="shared" si="4"/>
        <v>0</v>
      </c>
      <c r="F14" s="45">
        <f t="shared" si="5"/>
        <v>0</v>
      </c>
      <c r="G14" s="45">
        <f t="shared" si="6"/>
        <v>-35</v>
      </c>
      <c r="H14" s="174">
        <f t="shared" si="7"/>
        <v>50</v>
      </c>
      <c r="L14" s="86" t="s">
        <v>769</v>
      </c>
      <c r="M14" s="701">
        <f>SUMPRODUCT(M4:R4,M13:R13)</f>
        <v>22.869896204516273</v>
      </c>
    </row>
    <row r="15" spans="1:18" x14ac:dyDescent="0.25">
      <c r="A15" s="54">
        <f t="shared" si="8"/>
        <v>22</v>
      </c>
      <c r="B15" s="55">
        <f t="shared" si="1"/>
        <v>44</v>
      </c>
      <c r="C15" s="56">
        <f t="shared" si="2"/>
        <v>39</v>
      </c>
      <c r="D15" s="56">
        <f t="shared" si="3"/>
        <v>0</v>
      </c>
      <c r="E15" s="56">
        <f t="shared" si="4"/>
        <v>0</v>
      </c>
      <c r="F15" s="45">
        <f t="shared" si="5"/>
        <v>0</v>
      </c>
      <c r="G15" s="45">
        <f t="shared" si="6"/>
        <v>-34</v>
      </c>
      <c r="H15" s="174">
        <f t="shared" si="7"/>
        <v>49</v>
      </c>
      <c r="K15" s="42" t="s">
        <v>770</v>
      </c>
    </row>
    <row r="16" spans="1:18" x14ac:dyDescent="0.25">
      <c r="A16" s="54">
        <f t="shared" si="8"/>
        <v>24</v>
      </c>
      <c r="B16" s="55">
        <f t="shared" si="1"/>
        <v>43</v>
      </c>
      <c r="C16" s="56">
        <f t="shared" si="2"/>
        <v>38</v>
      </c>
      <c r="D16" s="56">
        <f t="shared" si="3"/>
        <v>0</v>
      </c>
      <c r="E16" s="56">
        <f t="shared" si="4"/>
        <v>0</v>
      </c>
      <c r="F16" s="45">
        <f t="shared" si="5"/>
        <v>0</v>
      </c>
      <c r="G16" s="45">
        <f t="shared" si="6"/>
        <v>-33</v>
      </c>
      <c r="H16" s="174">
        <f t="shared" si="7"/>
        <v>48</v>
      </c>
      <c r="K16" s="42" t="s">
        <v>771</v>
      </c>
      <c r="L16" s="701">
        <f>M14/((NORMSDIST(M12)-NORMSDIST(P12))*EXP(-M6*M9))</f>
        <v>-189.70664153793572</v>
      </c>
    </row>
    <row r="17" spans="1:11" x14ac:dyDescent="0.25">
      <c r="A17" s="54">
        <f t="shared" si="8"/>
        <v>26</v>
      </c>
      <c r="B17" s="55">
        <f t="shared" si="1"/>
        <v>42</v>
      </c>
      <c r="C17" s="56">
        <f t="shared" si="2"/>
        <v>37</v>
      </c>
      <c r="D17" s="56">
        <f t="shared" si="3"/>
        <v>0</v>
      </c>
      <c r="E17" s="56">
        <f t="shared" si="4"/>
        <v>0</v>
      </c>
      <c r="F17" s="45">
        <f t="shared" si="5"/>
        <v>0</v>
      </c>
      <c r="G17" s="45">
        <f t="shared" si="6"/>
        <v>-32</v>
      </c>
      <c r="H17" s="174">
        <f t="shared" si="7"/>
        <v>47</v>
      </c>
    </row>
    <row r="18" spans="1:11" x14ac:dyDescent="0.25">
      <c r="A18" s="54">
        <f t="shared" si="8"/>
        <v>28</v>
      </c>
      <c r="B18" s="55">
        <f t="shared" si="1"/>
        <v>41</v>
      </c>
      <c r="C18" s="56">
        <f t="shared" si="2"/>
        <v>36</v>
      </c>
      <c r="D18" s="56">
        <f t="shared" si="3"/>
        <v>0</v>
      </c>
      <c r="E18" s="56">
        <f t="shared" si="4"/>
        <v>0</v>
      </c>
      <c r="F18" s="45">
        <f t="shared" si="5"/>
        <v>0</v>
      </c>
      <c r="G18" s="45">
        <f t="shared" si="6"/>
        <v>-31</v>
      </c>
      <c r="H18" s="174">
        <f t="shared" si="7"/>
        <v>46</v>
      </c>
    </row>
    <row r="19" spans="1:11" x14ac:dyDescent="0.25">
      <c r="A19" s="54">
        <f t="shared" si="8"/>
        <v>30</v>
      </c>
      <c r="B19" s="55">
        <f t="shared" si="1"/>
        <v>40</v>
      </c>
      <c r="C19" s="56">
        <f t="shared" si="2"/>
        <v>35</v>
      </c>
      <c r="D19" s="56">
        <f t="shared" si="3"/>
        <v>0</v>
      </c>
      <c r="E19" s="56">
        <f t="shared" si="4"/>
        <v>0</v>
      </c>
      <c r="F19" s="45">
        <f t="shared" si="5"/>
        <v>0</v>
      </c>
      <c r="G19" s="45">
        <f t="shared" si="6"/>
        <v>-30</v>
      </c>
      <c r="H19" s="174">
        <f t="shared" si="7"/>
        <v>45</v>
      </c>
    </row>
    <row r="20" spans="1:11" x14ac:dyDescent="0.25">
      <c r="A20" s="54">
        <f t="shared" si="8"/>
        <v>32</v>
      </c>
      <c r="B20" s="55">
        <f t="shared" si="1"/>
        <v>39</v>
      </c>
      <c r="C20" s="56">
        <f t="shared" si="2"/>
        <v>34</v>
      </c>
      <c r="D20" s="56">
        <f t="shared" si="3"/>
        <v>0</v>
      </c>
      <c r="E20" s="56">
        <f t="shared" si="4"/>
        <v>0</v>
      </c>
      <c r="F20" s="45">
        <f t="shared" si="5"/>
        <v>0</v>
      </c>
      <c r="G20" s="45">
        <f t="shared" si="6"/>
        <v>-29</v>
      </c>
      <c r="H20" s="174">
        <f t="shared" si="7"/>
        <v>44</v>
      </c>
    </row>
    <row r="21" spans="1:11" x14ac:dyDescent="0.25">
      <c r="A21" s="54">
        <f t="shared" si="8"/>
        <v>34</v>
      </c>
      <c r="B21" s="55">
        <f t="shared" si="1"/>
        <v>38</v>
      </c>
      <c r="C21" s="56">
        <f t="shared" si="2"/>
        <v>33</v>
      </c>
      <c r="D21" s="56">
        <f t="shared" si="3"/>
        <v>0</v>
      </c>
      <c r="E21" s="56">
        <f t="shared" si="4"/>
        <v>0</v>
      </c>
      <c r="F21" s="45">
        <f t="shared" si="5"/>
        <v>0</v>
      </c>
      <c r="G21" s="45">
        <f t="shared" si="6"/>
        <v>-28</v>
      </c>
      <c r="H21" s="174">
        <f t="shared" si="7"/>
        <v>43</v>
      </c>
    </row>
    <row r="22" spans="1:11" x14ac:dyDescent="0.25">
      <c r="A22" s="54">
        <f t="shared" si="8"/>
        <v>36</v>
      </c>
      <c r="B22" s="55">
        <f t="shared" si="1"/>
        <v>37</v>
      </c>
      <c r="C22" s="56">
        <f t="shared" si="2"/>
        <v>32</v>
      </c>
      <c r="D22" s="56">
        <f t="shared" si="3"/>
        <v>0</v>
      </c>
      <c r="E22" s="56">
        <f t="shared" si="4"/>
        <v>0</v>
      </c>
      <c r="F22" s="45">
        <f t="shared" si="5"/>
        <v>0</v>
      </c>
      <c r="G22" s="45">
        <f t="shared" si="6"/>
        <v>-27</v>
      </c>
      <c r="H22" s="174">
        <f t="shared" si="7"/>
        <v>42</v>
      </c>
    </row>
    <row r="23" spans="1:11" x14ac:dyDescent="0.25">
      <c r="A23" s="54">
        <f t="shared" si="8"/>
        <v>38</v>
      </c>
      <c r="B23" s="55">
        <f t="shared" si="1"/>
        <v>36</v>
      </c>
      <c r="C23" s="56">
        <f t="shared" si="2"/>
        <v>31</v>
      </c>
      <c r="D23" s="56">
        <f t="shared" si="3"/>
        <v>0</v>
      </c>
      <c r="E23" s="56">
        <f t="shared" si="4"/>
        <v>0</v>
      </c>
      <c r="F23" s="45">
        <f t="shared" si="5"/>
        <v>0</v>
      </c>
      <c r="G23" s="45">
        <f t="shared" si="6"/>
        <v>-26</v>
      </c>
      <c r="H23" s="174">
        <f t="shared" si="7"/>
        <v>41</v>
      </c>
    </row>
    <row r="24" spans="1:11" x14ac:dyDescent="0.25">
      <c r="A24" s="54">
        <f t="shared" si="8"/>
        <v>40</v>
      </c>
      <c r="B24" s="55">
        <f t="shared" si="1"/>
        <v>35</v>
      </c>
      <c r="C24" s="56">
        <f t="shared" si="2"/>
        <v>30</v>
      </c>
      <c r="D24" s="56">
        <f t="shared" si="3"/>
        <v>0</v>
      </c>
      <c r="E24" s="56">
        <f t="shared" si="4"/>
        <v>0</v>
      </c>
      <c r="F24" s="45">
        <f t="shared" si="5"/>
        <v>0</v>
      </c>
      <c r="G24" s="45">
        <f t="shared" si="6"/>
        <v>-25</v>
      </c>
      <c r="H24" s="174">
        <f t="shared" si="7"/>
        <v>40</v>
      </c>
    </row>
    <row r="25" spans="1:11" x14ac:dyDescent="0.25">
      <c r="A25" s="54">
        <f t="shared" si="8"/>
        <v>42</v>
      </c>
      <c r="B25" s="55">
        <f t="shared" si="1"/>
        <v>34</v>
      </c>
      <c r="C25" s="56">
        <f t="shared" si="2"/>
        <v>29</v>
      </c>
      <c r="D25" s="56">
        <f t="shared" si="3"/>
        <v>0</v>
      </c>
      <c r="E25" s="56">
        <f t="shared" si="4"/>
        <v>0</v>
      </c>
      <c r="F25" s="45">
        <f t="shared" si="5"/>
        <v>0</v>
      </c>
      <c r="G25" s="45">
        <f t="shared" si="6"/>
        <v>-24</v>
      </c>
      <c r="H25" s="174">
        <f t="shared" si="7"/>
        <v>39</v>
      </c>
      <c r="K25" s="63"/>
    </row>
    <row r="26" spans="1:11" x14ac:dyDescent="0.25">
      <c r="A26" s="54">
        <f t="shared" si="8"/>
        <v>44</v>
      </c>
      <c r="B26" s="55">
        <f t="shared" si="1"/>
        <v>33</v>
      </c>
      <c r="C26" s="56">
        <f t="shared" si="2"/>
        <v>28</v>
      </c>
      <c r="D26" s="56">
        <f t="shared" si="3"/>
        <v>0</v>
      </c>
      <c r="E26" s="56">
        <f t="shared" si="4"/>
        <v>0</v>
      </c>
      <c r="F26" s="45">
        <f t="shared" si="5"/>
        <v>0</v>
      </c>
      <c r="G26" s="45">
        <f t="shared" si="6"/>
        <v>-23</v>
      </c>
      <c r="H26" s="174">
        <f t="shared" si="7"/>
        <v>38</v>
      </c>
    </row>
    <row r="27" spans="1:11" x14ac:dyDescent="0.25">
      <c r="A27" s="54">
        <f t="shared" si="8"/>
        <v>46</v>
      </c>
      <c r="B27" s="55">
        <f t="shared" si="1"/>
        <v>32</v>
      </c>
      <c r="C27" s="56">
        <f t="shared" si="2"/>
        <v>27</v>
      </c>
      <c r="D27" s="56">
        <f t="shared" si="3"/>
        <v>0</v>
      </c>
      <c r="E27" s="56">
        <f t="shared" si="4"/>
        <v>0</v>
      </c>
      <c r="F27" s="45">
        <f t="shared" si="5"/>
        <v>0</v>
      </c>
      <c r="G27" s="45">
        <f t="shared" si="6"/>
        <v>-22</v>
      </c>
      <c r="H27" s="174">
        <f t="shared" si="7"/>
        <v>37</v>
      </c>
    </row>
    <row r="28" spans="1:11" x14ac:dyDescent="0.25">
      <c r="A28" s="54">
        <f t="shared" si="8"/>
        <v>48</v>
      </c>
      <c r="B28" s="55">
        <f t="shared" si="1"/>
        <v>31</v>
      </c>
      <c r="C28" s="56">
        <f t="shared" si="2"/>
        <v>26</v>
      </c>
      <c r="D28" s="56">
        <f t="shared" si="3"/>
        <v>0</v>
      </c>
      <c r="E28" s="56">
        <f t="shared" si="4"/>
        <v>0</v>
      </c>
      <c r="F28" s="45">
        <f t="shared" si="5"/>
        <v>0</v>
      </c>
      <c r="G28" s="45">
        <f t="shared" si="6"/>
        <v>-21</v>
      </c>
      <c r="H28" s="174">
        <f t="shared" si="7"/>
        <v>36</v>
      </c>
    </row>
    <row r="29" spans="1:11" x14ac:dyDescent="0.25">
      <c r="A29" s="54">
        <f t="shared" si="8"/>
        <v>50</v>
      </c>
      <c r="B29" s="55">
        <f t="shared" si="1"/>
        <v>30</v>
      </c>
      <c r="C29" s="56">
        <f t="shared" si="2"/>
        <v>25</v>
      </c>
      <c r="D29" s="56">
        <f t="shared" si="3"/>
        <v>0</v>
      </c>
      <c r="E29" s="56">
        <f t="shared" si="4"/>
        <v>0</v>
      </c>
      <c r="F29" s="45">
        <f t="shared" si="5"/>
        <v>0</v>
      </c>
      <c r="G29" s="45">
        <f t="shared" si="6"/>
        <v>-20</v>
      </c>
      <c r="H29" s="174">
        <f t="shared" si="7"/>
        <v>35</v>
      </c>
    </row>
    <row r="30" spans="1:11" x14ac:dyDescent="0.25">
      <c r="A30" s="54">
        <f t="shared" si="8"/>
        <v>52</v>
      </c>
      <c r="B30" s="55">
        <f t="shared" si="1"/>
        <v>29</v>
      </c>
      <c r="C30" s="56">
        <f t="shared" si="2"/>
        <v>24</v>
      </c>
      <c r="D30" s="56">
        <f t="shared" si="3"/>
        <v>0</v>
      </c>
      <c r="E30" s="56">
        <f t="shared" si="4"/>
        <v>0</v>
      </c>
      <c r="F30" s="45">
        <f t="shared" si="5"/>
        <v>0</v>
      </c>
      <c r="G30" s="45">
        <f t="shared" si="6"/>
        <v>-19</v>
      </c>
      <c r="H30" s="174">
        <f t="shared" si="7"/>
        <v>34</v>
      </c>
    </row>
    <row r="31" spans="1:11" x14ac:dyDescent="0.25">
      <c r="A31" s="54">
        <f t="shared" si="8"/>
        <v>54</v>
      </c>
      <c r="B31" s="55">
        <f t="shared" si="1"/>
        <v>28</v>
      </c>
      <c r="C31" s="56">
        <f t="shared" si="2"/>
        <v>23</v>
      </c>
      <c r="D31" s="56">
        <f t="shared" si="3"/>
        <v>0</v>
      </c>
      <c r="E31" s="56">
        <f t="shared" si="4"/>
        <v>0</v>
      </c>
      <c r="F31" s="45">
        <f t="shared" si="5"/>
        <v>0</v>
      </c>
      <c r="G31" s="45">
        <f t="shared" si="6"/>
        <v>-18</v>
      </c>
      <c r="H31" s="174">
        <f t="shared" si="7"/>
        <v>33</v>
      </c>
    </row>
    <row r="32" spans="1:11" x14ac:dyDescent="0.25">
      <c r="A32" s="54">
        <f t="shared" si="8"/>
        <v>56</v>
      </c>
      <c r="B32" s="55">
        <f t="shared" si="1"/>
        <v>27</v>
      </c>
      <c r="C32" s="56">
        <f t="shared" si="2"/>
        <v>22</v>
      </c>
      <c r="D32" s="56">
        <f t="shared" si="3"/>
        <v>0</v>
      </c>
      <c r="E32" s="56">
        <f t="shared" si="4"/>
        <v>0</v>
      </c>
      <c r="F32" s="45">
        <f t="shared" si="5"/>
        <v>0</v>
      </c>
      <c r="G32" s="45">
        <f t="shared" si="6"/>
        <v>-17</v>
      </c>
      <c r="H32" s="174">
        <f t="shared" si="7"/>
        <v>32</v>
      </c>
    </row>
    <row r="33" spans="1:8" x14ac:dyDescent="0.25">
      <c r="A33" s="54">
        <f t="shared" si="8"/>
        <v>58</v>
      </c>
      <c r="B33" s="55">
        <f t="shared" si="1"/>
        <v>26</v>
      </c>
      <c r="C33" s="56">
        <f t="shared" si="2"/>
        <v>21</v>
      </c>
      <c r="D33" s="56">
        <f t="shared" si="3"/>
        <v>0</v>
      </c>
      <c r="E33" s="56">
        <f t="shared" si="4"/>
        <v>0</v>
      </c>
      <c r="F33" s="45">
        <f t="shared" si="5"/>
        <v>0</v>
      </c>
      <c r="G33" s="45">
        <f t="shared" si="6"/>
        <v>-16</v>
      </c>
      <c r="H33" s="174">
        <f t="shared" si="7"/>
        <v>31</v>
      </c>
    </row>
    <row r="34" spans="1:8" x14ac:dyDescent="0.25">
      <c r="A34" s="54">
        <f t="shared" si="8"/>
        <v>60</v>
      </c>
      <c r="B34" s="55">
        <f t="shared" si="1"/>
        <v>25</v>
      </c>
      <c r="C34" s="56">
        <f t="shared" si="2"/>
        <v>20</v>
      </c>
      <c r="D34" s="56">
        <f t="shared" si="3"/>
        <v>0</v>
      </c>
      <c r="E34" s="56">
        <f t="shared" si="4"/>
        <v>0</v>
      </c>
      <c r="F34" s="45">
        <f t="shared" si="5"/>
        <v>0</v>
      </c>
      <c r="G34" s="45">
        <f t="shared" si="6"/>
        <v>-15</v>
      </c>
      <c r="H34" s="174">
        <f t="shared" si="7"/>
        <v>30</v>
      </c>
    </row>
    <row r="35" spans="1:8" x14ac:dyDescent="0.25">
      <c r="A35" s="54">
        <f t="shared" si="8"/>
        <v>62</v>
      </c>
      <c r="B35" s="55">
        <f t="shared" si="1"/>
        <v>24</v>
      </c>
      <c r="C35" s="56">
        <f t="shared" si="2"/>
        <v>19</v>
      </c>
      <c r="D35" s="56">
        <f t="shared" si="3"/>
        <v>0</v>
      </c>
      <c r="E35" s="56">
        <f t="shared" si="4"/>
        <v>0</v>
      </c>
      <c r="F35" s="45">
        <f t="shared" si="5"/>
        <v>0</v>
      </c>
      <c r="G35" s="45">
        <f t="shared" si="6"/>
        <v>-14</v>
      </c>
      <c r="H35" s="174">
        <f t="shared" si="7"/>
        <v>29</v>
      </c>
    </row>
    <row r="36" spans="1:8" x14ac:dyDescent="0.25">
      <c r="A36" s="54">
        <f t="shared" si="8"/>
        <v>64</v>
      </c>
      <c r="B36" s="55">
        <f t="shared" ref="B36:B67" si="12">(MAX(IF($B$1="C",1,-1)*(A36-$M$5),0)-IF($M$10="Y",$M$13*EXP($M$6*$M$9),0))*$M$4</f>
        <v>23</v>
      </c>
      <c r="C36" s="56">
        <f t="shared" ref="C36:C67" si="13">(MAX(IF($C$1="C",1,-1)*(A36-$N$5),0)-IF($M$10="Y",$N$13*EXP($M$6*$M$9),0))*$N$4</f>
        <v>18</v>
      </c>
      <c r="D36" s="56">
        <f t="shared" ref="D36:D67" si="14">(MAX(IF($D$1="C",1,-1)*(A36-$O$5),0)-IF($M$10="Y",$O$13*EXP($M$6*$M$9),0))*$O$4</f>
        <v>0</v>
      </c>
      <c r="E36" s="56">
        <f t="shared" ref="E36:E67" si="15">(MAX(IF($E$1="C",1,-1)*(A36-$P$5),0)-IF($M$10="Y",$P$13*EXP($M$6*$M$9),0))*$P$4</f>
        <v>0</v>
      </c>
      <c r="F36" s="45">
        <f t="shared" si="5"/>
        <v>0</v>
      </c>
      <c r="G36" s="45">
        <f t="shared" si="6"/>
        <v>-13</v>
      </c>
      <c r="H36" s="174">
        <f t="shared" si="7"/>
        <v>28</v>
      </c>
    </row>
    <row r="37" spans="1:8" x14ac:dyDescent="0.25">
      <c r="A37" s="54">
        <f t="shared" si="8"/>
        <v>66</v>
      </c>
      <c r="B37" s="55">
        <f t="shared" si="12"/>
        <v>22</v>
      </c>
      <c r="C37" s="56">
        <f t="shared" si="13"/>
        <v>17</v>
      </c>
      <c r="D37" s="56">
        <f t="shared" si="14"/>
        <v>0</v>
      </c>
      <c r="E37" s="56">
        <f t="shared" si="15"/>
        <v>0</v>
      </c>
      <c r="F37" s="45">
        <f t="shared" si="5"/>
        <v>0</v>
      </c>
      <c r="G37" s="45">
        <f t="shared" si="6"/>
        <v>-12</v>
      </c>
      <c r="H37" s="174">
        <f t="shared" si="7"/>
        <v>27</v>
      </c>
    </row>
    <row r="38" spans="1:8" x14ac:dyDescent="0.25">
      <c r="A38" s="54">
        <f t="shared" si="8"/>
        <v>68</v>
      </c>
      <c r="B38" s="55">
        <f t="shared" si="12"/>
        <v>21</v>
      </c>
      <c r="C38" s="56">
        <f t="shared" si="13"/>
        <v>16</v>
      </c>
      <c r="D38" s="56">
        <f t="shared" si="14"/>
        <v>0</v>
      </c>
      <c r="E38" s="56">
        <f t="shared" si="15"/>
        <v>0</v>
      </c>
      <c r="F38" s="45">
        <f t="shared" si="5"/>
        <v>0</v>
      </c>
      <c r="G38" s="45">
        <f t="shared" si="6"/>
        <v>-11</v>
      </c>
      <c r="H38" s="174">
        <f t="shared" si="7"/>
        <v>26</v>
      </c>
    </row>
    <row r="39" spans="1:8" x14ac:dyDescent="0.25">
      <c r="A39" s="54">
        <f t="shared" si="8"/>
        <v>70</v>
      </c>
      <c r="B39" s="55">
        <f t="shared" si="12"/>
        <v>20</v>
      </c>
      <c r="C39" s="56">
        <f t="shared" si="13"/>
        <v>15</v>
      </c>
      <c r="D39" s="56">
        <f t="shared" si="14"/>
        <v>0</v>
      </c>
      <c r="E39" s="56">
        <f t="shared" si="15"/>
        <v>0</v>
      </c>
      <c r="F39" s="45">
        <f t="shared" si="5"/>
        <v>0</v>
      </c>
      <c r="G39" s="45">
        <f t="shared" si="6"/>
        <v>-10</v>
      </c>
      <c r="H39" s="174">
        <f t="shared" si="7"/>
        <v>25</v>
      </c>
    </row>
    <row r="40" spans="1:8" x14ac:dyDescent="0.25">
      <c r="A40" s="54">
        <f t="shared" si="8"/>
        <v>72</v>
      </c>
      <c r="B40" s="55">
        <f t="shared" si="12"/>
        <v>19</v>
      </c>
      <c r="C40" s="56">
        <f t="shared" si="13"/>
        <v>14</v>
      </c>
      <c r="D40" s="56">
        <f t="shared" si="14"/>
        <v>0</v>
      </c>
      <c r="E40" s="56">
        <f t="shared" si="15"/>
        <v>0</v>
      </c>
      <c r="F40" s="45">
        <f t="shared" si="5"/>
        <v>0</v>
      </c>
      <c r="G40" s="45">
        <f t="shared" si="6"/>
        <v>-9</v>
      </c>
      <c r="H40" s="174">
        <f t="shared" si="7"/>
        <v>24</v>
      </c>
    </row>
    <row r="41" spans="1:8" x14ac:dyDescent="0.25">
      <c r="A41" s="54">
        <f t="shared" si="8"/>
        <v>74</v>
      </c>
      <c r="B41" s="55">
        <f t="shared" si="12"/>
        <v>18</v>
      </c>
      <c r="C41" s="56">
        <f t="shared" si="13"/>
        <v>13</v>
      </c>
      <c r="D41" s="56">
        <f t="shared" si="14"/>
        <v>0</v>
      </c>
      <c r="E41" s="56">
        <f t="shared" si="15"/>
        <v>0</v>
      </c>
      <c r="F41" s="45">
        <f t="shared" si="5"/>
        <v>0</v>
      </c>
      <c r="G41" s="45">
        <f t="shared" si="6"/>
        <v>-8</v>
      </c>
      <c r="H41" s="174">
        <f t="shared" si="7"/>
        <v>23</v>
      </c>
    </row>
    <row r="42" spans="1:8" x14ac:dyDescent="0.25">
      <c r="A42" s="54">
        <f t="shared" si="8"/>
        <v>76</v>
      </c>
      <c r="B42" s="55">
        <f t="shared" si="12"/>
        <v>17</v>
      </c>
      <c r="C42" s="56">
        <f t="shared" si="13"/>
        <v>12</v>
      </c>
      <c r="D42" s="56">
        <f t="shared" si="14"/>
        <v>0</v>
      </c>
      <c r="E42" s="56">
        <f t="shared" si="15"/>
        <v>0</v>
      </c>
      <c r="F42" s="45">
        <f t="shared" si="5"/>
        <v>0</v>
      </c>
      <c r="G42" s="45">
        <f t="shared" si="6"/>
        <v>-7</v>
      </c>
      <c r="H42" s="174">
        <f t="shared" si="7"/>
        <v>22</v>
      </c>
    </row>
    <row r="43" spans="1:8" x14ac:dyDescent="0.25">
      <c r="A43" s="54">
        <f t="shared" si="8"/>
        <v>78</v>
      </c>
      <c r="B43" s="55">
        <f t="shared" si="12"/>
        <v>16</v>
      </c>
      <c r="C43" s="56">
        <f t="shared" si="13"/>
        <v>11</v>
      </c>
      <c r="D43" s="56">
        <f t="shared" si="14"/>
        <v>0</v>
      </c>
      <c r="E43" s="56">
        <f t="shared" si="15"/>
        <v>0</v>
      </c>
      <c r="F43" s="45">
        <f t="shared" si="5"/>
        <v>0</v>
      </c>
      <c r="G43" s="45">
        <f t="shared" si="6"/>
        <v>-6</v>
      </c>
      <c r="H43" s="174">
        <f t="shared" si="7"/>
        <v>21</v>
      </c>
    </row>
    <row r="44" spans="1:8" x14ac:dyDescent="0.25">
      <c r="A44" s="54">
        <f t="shared" si="8"/>
        <v>80</v>
      </c>
      <c r="B44" s="55">
        <f t="shared" si="12"/>
        <v>15</v>
      </c>
      <c r="C44" s="56">
        <f t="shared" si="13"/>
        <v>10</v>
      </c>
      <c r="D44" s="56">
        <f t="shared" si="14"/>
        <v>0</v>
      </c>
      <c r="E44" s="56">
        <f t="shared" si="15"/>
        <v>0</v>
      </c>
      <c r="F44" s="45">
        <f t="shared" si="5"/>
        <v>0</v>
      </c>
      <c r="G44" s="45">
        <f t="shared" si="6"/>
        <v>-5</v>
      </c>
      <c r="H44" s="174">
        <f t="shared" si="7"/>
        <v>20</v>
      </c>
    </row>
    <row r="45" spans="1:8" x14ac:dyDescent="0.25">
      <c r="A45" s="54">
        <f t="shared" si="8"/>
        <v>82</v>
      </c>
      <c r="B45" s="55">
        <f t="shared" si="12"/>
        <v>14</v>
      </c>
      <c r="C45" s="56">
        <f t="shared" si="13"/>
        <v>9</v>
      </c>
      <c r="D45" s="56">
        <f t="shared" si="14"/>
        <v>0</v>
      </c>
      <c r="E45" s="56">
        <f t="shared" si="15"/>
        <v>0</v>
      </c>
      <c r="F45" s="45">
        <f t="shared" si="5"/>
        <v>0</v>
      </c>
      <c r="G45" s="45">
        <f t="shared" si="6"/>
        <v>-4</v>
      </c>
      <c r="H45" s="174">
        <f t="shared" si="7"/>
        <v>19</v>
      </c>
    </row>
    <row r="46" spans="1:8" x14ac:dyDescent="0.25">
      <c r="A46" s="54">
        <f t="shared" si="8"/>
        <v>84</v>
      </c>
      <c r="B46" s="55">
        <f t="shared" si="12"/>
        <v>13</v>
      </c>
      <c r="C46" s="56">
        <f t="shared" si="13"/>
        <v>8</v>
      </c>
      <c r="D46" s="56">
        <f t="shared" si="14"/>
        <v>0</v>
      </c>
      <c r="E46" s="56">
        <f t="shared" si="15"/>
        <v>0</v>
      </c>
      <c r="F46" s="45">
        <f t="shared" si="5"/>
        <v>0</v>
      </c>
      <c r="G46" s="45">
        <f t="shared" si="6"/>
        <v>-3</v>
      </c>
      <c r="H46" s="174">
        <f t="shared" si="7"/>
        <v>18</v>
      </c>
    </row>
    <row r="47" spans="1:8" x14ac:dyDescent="0.25">
      <c r="A47" s="54">
        <f t="shared" si="8"/>
        <v>86</v>
      </c>
      <c r="B47" s="55">
        <f t="shared" si="12"/>
        <v>12</v>
      </c>
      <c r="C47" s="56">
        <f t="shared" si="13"/>
        <v>7</v>
      </c>
      <c r="D47" s="56">
        <f t="shared" si="14"/>
        <v>0</v>
      </c>
      <c r="E47" s="56">
        <f t="shared" si="15"/>
        <v>0</v>
      </c>
      <c r="F47" s="45">
        <f t="shared" si="5"/>
        <v>0</v>
      </c>
      <c r="G47" s="45">
        <f t="shared" si="6"/>
        <v>-2</v>
      </c>
      <c r="H47" s="174">
        <f t="shared" si="7"/>
        <v>17</v>
      </c>
    </row>
    <row r="48" spans="1:8" x14ac:dyDescent="0.25">
      <c r="A48" s="54">
        <f t="shared" si="8"/>
        <v>88</v>
      </c>
      <c r="B48" s="55">
        <f t="shared" si="12"/>
        <v>11</v>
      </c>
      <c r="C48" s="56">
        <f t="shared" si="13"/>
        <v>6</v>
      </c>
      <c r="D48" s="56">
        <f t="shared" si="14"/>
        <v>0</v>
      </c>
      <c r="E48" s="56">
        <f t="shared" si="15"/>
        <v>0</v>
      </c>
      <c r="F48" s="45">
        <f t="shared" si="5"/>
        <v>0</v>
      </c>
      <c r="G48" s="45">
        <f t="shared" si="6"/>
        <v>-1</v>
      </c>
      <c r="H48" s="174">
        <f t="shared" si="7"/>
        <v>16</v>
      </c>
    </row>
    <row r="49" spans="1:8" x14ac:dyDescent="0.25">
      <c r="A49" s="54">
        <f t="shared" si="8"/>
        <v>90</v>
      </c>
      <c r="B49" s="55">
        <f t="shared" si="12"/>
        <v>10</v>
      </c>
      <c r="C49" s="56">
        <f t="shared" si="13"/>
        <v>5</v>
      </c>
      <c r="D49" s="56">
        <f t="shared" si="14"/>
        <v>0</v>
      </c>
      <c r="E49" s="56">
        <f t="shared" si="15"/>
        <v>0</v>
      </c>
      <c r="F49" s="45">
        <f t="shared" si="5"/>
        <v>0</v>
      </c>
      <c r="G49" s="45">
        <f t="shared" si="6"/>
        <v>0</v>
      </c>
      <c r="H49" s="174">
        <f t="shared" si="7"/>
        <v>15</v>
      </c>
    </row>
    <row r="50" spans="1:8" x14ac:dyDescent="0.25">
      <c r="A50" s="54">
        <f t="shared" si="8"/>
        <v>92</v>
      </c>
      <c r="B50" s="55">
        <f t="shared" si="12"/>
        <v>9</v>
      </c>
      <c r="C50" s="56">
        <f t="shared" si="13"/>
        <v>4</v>
      </c>
      <c r="D50" s="56">
        <f t="shared" si="14"/>
        <v>1</v>
      </c>
      <c r="E50" s="56">
        <f t="shared" si="15"/>
        <v>0</v>
      </c>
      <c r="F50" s="45">
        <f t="shared" si="5"/>
        <v>0</v>
      </c>
      <c r="G50" s="45">
        <f t="shared" si="6"/>
        <v>0</v>
      </c>
      <c r="H50" s="174">
        <f t="shared" si="7"/>
        <v>14</v>
      </c>
    </row>
    <row r="51" spans="1:8" x14ac:dyDescent="0.25">
      <c r="A51" s="54">
        <f t="shared" si="8"/>
        <v>94</v>
      </c>
      <c r="B51" s="55">
        <f t="shared" si="12"/>
        <v>8</v>
      </c>
      <c r="C51" s="56">
        <f t="shared" si="13"/>
        <v>3</v>
      </c>
      <c r="D51" s="56">
        <f t="shared" si="14"/>
        <v>2</v>
      </c>
      <c r="E51" s="56">
        <f t="shared" si="15"/>
        <v>0</v>
      </c>
      <c r="F51" s="45">
        <f t="shared" si="5"/>
        <v>0</v>
      </c>
      <c r="G51" s="45">
        <f t="shared" si="6"/>
        <v>0</v>
      </c>
      <c r="H51" s="174">
        <f t="shared" si="7"/>
        <v>13</v>
      </c>
    </row>
    <row r="52" spans="1:8" x14ac:dyDescent="0.25">
      <c r="A52" s="54">
        <f t="shared" si="8"/>
        <v>96</v>
      </c>
      <c r="B52" s="55">
        <f t="shared" si="12"/>
        <v>7</v>
      </c>
      <c r="C52" s="56">
        <f t="shared" si="13"/>
        <v>2</v>
      </c>
      <c r="D52" s="56">
        <f t="shared" si="14"/>
        <v>3</v>
      </c>
      <c r="E52" s="56">
        <f t="shared" si="15"/>
        <v>0</v>
      </c>
      <c r="F52" s="45">
        <f t="shared" si="5"/>
        <v>0</v>
      </c>
      <c r="G52" s="45">
        <f t="shared" si="6"/>
        <v>0</v>
      </c>
      <c r="H52" s="174">
        <f t="shared" si="7"/>
        <v>12</v>
      </c>
    </row>
    <row r="53" spans="1:8" x14ac:dyDescent="0.25">
      <c r="A53" s="54">
        <f t="shared" si="8"/>
        <v>98</v>
      </c>
      <c r="B53" s="55">
        <f t="shared" si="12"/>
        <v>6</v>
      </c>
      <c r="C53" s="56">
        <f t="shared" si="13"/>
        <v>1</v>
      </c>
      <c r="D53" s="56">
        <f t="shared" si="14"/>
        <v>4</v>
      </c>
      <c r="E53" s="56">
        <f t="shared" si="15"/>
        <v>0</v>
      </c>
      <c r="F53" s="45">
        <f t="shared" si="5"/>
        <v>0</v>
      </c>
      <c r="G53" s="45">
        <f t="shared" si="6"/>
        <v>0</v>
      </c>
      <c r="H53" s="174">
        <f t="shared" si="7"/>
        <v>11</v>
      </c>
    </row>
    <row r="54" spans="1:8" x14ac:dyDescent="0.25">
      <c r="A54" s="54">
        <f t="shared" si="8"/>
        <v>100</v>
      </c>
      <c r="B54" s="55">
        <f t="shared" si="12"/>
        <v>5</v>
      </c>
      <c r="C54" s="56">
        <f t="shared" si="13"/>
        <v>0</v>
      </c>
      <c r="D54" s="56">
        <f t="shared" si="14"/>
        <v>5</v>
      </c>
      <c r="E54" s="56">
        <f t="shared" si="15"/>
        <v>0</v>
      </c>
      <c r="F54" s="45">
        <f t="shared" si="5"/>
        <v>0</v>
      </c>
      <c r="G54" s="45">
        <f t="shared" si="6"/>
        <v>0</v>
      </c>
      <c r="H54" s="174">
        <f t="shared" si="7"/>
        <v>10</v>
      </c>
    </row>
    <row r="55" spans="1:8" x14ac:dyDescent="0.25">
      <c r="A55" s="54">
        <f t="shared" si="8"/>
        <v>102</v>
      </c>
      <c r="B55" s="55">
        <f t="shared" si="12"/>
        <v>4</v>
      </c>
      <c r="C55" s="56">
        <f t="shared" si="13"/>
        <v>0</v>
      </c>
      <c r="D55" s="56">
        <f t="shared" si="14"/>
        <v>6</v>
      </c>
      <c r="E55" s="56">
        <f t="shared" si="15"/>
        <v>1</v>
      </c>
      <c r="F55" s="45">
        <f t="shared" si="5"/>
        <v>0</v>
      </c>
      <c r="G55" s="45">
        <f t="shared" si="6"/>
        <v>0</v>
      </c>
      <c r="H55" s="174">
        <f t="shared" si="7"/>
        <v>11</v>
      </c>
    </row>
    <row r="56" spans="1:8" x14ac:dyDescent="0.25">
      <c r="A56" s="54">
        <f t="shared" si="8"/>
        <v>104</v>
      </c>
      <c r="B56" s="55">
        <f t="shared" si="12"/>
        <v>3</v>
      </c>
      <c r="C56" s="56">
        <f t="shared" si="13"/>
        <v>0</v>
      </c>
      <c r="D56" s="56">
        <f t="shared" si="14"/>
        <v>7</v>
      </c>
      <c r="E56" s="56">
        <f t="shared" si="15"/>
        <v>2</v>
      </c>
      <c r="F56" s="45">
        <f t="shared" si="5"/>
        <v>0</v>
      </c>
      <c r="G56" s="45">
        <f t="shared" si="6"/>
        <v>0</v>
      </c>
      <c r="H56" s="174">
        <f t="shared" si="7"/>
        <v>12</v>
      </c>
    </row>
    <row r="57" spans="1:8" x14ac:dyDescent="0.25">
      <c r="A57" s="54">
        <f t="shared" si="8"/>
        <v>106</v>
      </c>
      <c r="B57" s="55">
        <f t="shared" si="12"/>
        <v>2</v>
      </c>
      <c r="C57" s="56">
        <f t="shared" si="13"/>
        <v>0</v>
      </c>
      <c r="D57" s="56">
        <f t="shared" si="14"/>
        <v>8</v>
      </c>
      <c r="E57" s="56">
        <f t="shared" si="15"/>
        <v>3</v>
      </c>
      <c r="F57" s="45">
        <f t="shared" si="5"/>
        <v>0</v>
      </c>
      <c r="G57" s="45">
        <f t="shared" si="6"/>
        <v>0</v>
      </c>
      <c r="H57" s="174">
        <f t="shared" si="7"/>
        <v>13</v>
      </c>
    </row>
    <row r="58" spans="1:8" x14ac:dyDescent="0.25">
      <c r="A58" s="54">
        <f t="shared" si="8"/>
        <v>108</v>
      </c>
      <c r="B58" s="55">
        <f t="shared" si="12"/>
        <v>1</v>
      </c>
      <c r="C58" s="56">
        <f t="shared" si="13"/>
        <v>0</v>
      </c>
      <c r="D58" s="56">
        <f t="shared" si="14"/>
        <v>9</v>
      </c>
      <c r="E58" s="56">
        <f t="shared" si="15"/>
        <v>4</v>
      </c>
      <c r="F58" s="45">
        <f t="shared" si="5"/>
        <v>0</v>
      </c>
      <c r="G58" s="45">
        <f t="shared" si="6"/>
        <v>0</v>
      </c>
      <c r="H58" s="174">
        <f t="shared" si="7"/>
        <v>14</v>
      </c>
    </row>
    <row r="59" spans="1:8" x14ac:dyDescent="0.25">
      <c r="A59" s="54">
        <f t="shared" si="8"/>
        <v>110</v>
      </c>
      <c r="B59" s="55">
        <f t="shared" si="12"/>
        <v>0</v>
      </c>
      <c r="C59" s="56">
        <f t="shared" si="13"/>
        <v>0</v>
      </c>
      <c r="D59" s="56">
        <f t="shared" si="14"/>
        <v>10</v>
      </c>
      <c r="E59" s="56">
        <f t="shared" si="15"/>
        <v>5</v>
      </c>
      <c r="F59" s="45">
        <f t="shared" si="5"/>
        <v>0</v>
      </c>
      <c r="G59" s="45">
        <f t="shared" si="6"/>
        <v>0</v>
      </c>
      <c r="H59" s="174">
        <f t="shared" si="7"/>
        <v>15</v>
      </c>
    </row>
    <row r="60" spans="1:8" x14ac:dyDescent="0.25">
      <c r="A60" s="54">
        <f t="shared" si="8"/>
        <v>112</v>
      </c>
      <c r="B60" s="55">
        <f t="shared" si="12"/>
        <v>0</v>
      </c>
      <c r="C60" s="56">
        <f t="shared" si="13"/>
        <v>0</v>
      </c>
      <c r="D60" s="56">
        <f t="shared" si="14"/>
        <v>11</v>
      </c>
      <c r="E60" s="56">
        <f t="shared" si="15"/>
        <v>6</v>
      </c>
      <c r="F60" s="45">
        <f t="shared" si="5"/>
        <v>-1</v>
      </c>
      <c r="G60" s="45">
        <f t="shared" si="6"/>
        <v>0</v>
      </c>
      <c r="H60" s="174">
        <f t="shared" si="7"/>
        <v>16</v>
      </c>
    </row>
    <row r="61" spans="1:8" x14ac:dyDescent="0.25">
      <c r="A61" s="54">
        <f t="shared" si="8"/>
        <v>114</v>
      </c>
      <c r="B61" s="55">
        <f t="shared" si="12"/>
        <v>0</v>
      </c>
      <c r="C61" s="56">
        <f t="shared" si="13"/>
        <v>0</v>
      </c>
      <c r="D61" s="56">
        <f t="shared" si="14"/>
        <v>12</v>
      </c>
      <c r="E61" s="56">
        <f t="shared" si="15"/>
        <v>7</v>
      </c>
      <c r="F61" s="45">
        <f t="shared" si="5"/>
        <v>-2</v>
      </c>
      <c r="G61" s="45">
        <f t="shared" si="6"/>
        <v>0</v>
      </c>
      <c r="H61" s="174">
        <f t="shared" si="7"/>
        <v>17</v>
      </c>
    </row>
    <row r="62" spans="1:8" x14ac:dyDescent="0.25">
      <c r="A62" s="54">
        <f t="shared" si="8"/>
        <v>116</v>
      </c>
      <c r="B62" s="55">
        <f t="shared" si="12"/>
        <v>0</v>
      </c>
      <c r="C62" s="56">
        <f t="shared" si="13"/>
        <v>0</v>
      </c>
      <c r="D62" s="56">
        <f t="shared" si="14"/>
        <v>13</v>
      </c>
      <c r="E62" s="56">
        <f t="shared" si="15"/>
        <v>8</v>
      </c>
      <c r="F62" s="45">
        <f t="shared" si="5"/>
        <v>-3</v>
      </c>
      <c r="G62" s="45">
        <f t="shared" si="6"/>
        <v>0</v>
      </c>
      <c r="H62" s="174">
        <f t="shared" si="7"/>
        <v>18</v>
      </c>
    </row>
    <row r="63" spans="1:8" x14ac:dyDescent="0.25">
      <c r="A63" s="54">
        <f t="shared" si="8"/>
        <v>118</v>
      </c>
      <c r="B63" s="55">
        <f t="shared" si="12"/>
        <v>0</v>
      </c>
      <c r="C63" s="56">
        <f t="shared" si="13"/>
        <v>0</v>
      </c>
      <c r="D63" s="56">
        <f t="shared" si="14"/>
        <v>14</v>
      </c>
      <c r="E63" s="56">
        <f t="shared" si="15"/>
        <v>9</v>
      </c>
      <c r="F63" s="45">
        <f t="shared" si="5"/>
        <v>-4</v>
      </c>
      <c r="G63" s="45">
        <f t="shared" si="6"/>
        <v>0</v>
      </c>
      <c r="H63" s="174">
        <f t="shared" si="7"/>
        <v>19</v>
      </c>
    </row>
    <row r="64" spans="1:8" x14ac:dyDescent="0.25">
      <c r="A64" s="54">
        <f t="shared" si="8"/>
        <v>120</v>
      </c>
      <c r="B64" s="55">
        <f t="shared" si="12"/>
        <v>0</v>
      </c>
      <c r="C64" s="56">
        <f t="shared" si="13"/>
        <v>0</v>
      </c>
      <c r="D64" s="56">
        <f t="shared" si="14"/>
        <v>15</v>
      </c>
      <c r="E64" s="56">
        <f t="shared" si="15"/>
        <v>10</v>
      </c>
      <c r="F64" s="45">
        <f t="shared" si="5"/>
        <v>-5</v>
      </c>
      <c r="G64" s="45">
        <f t="shared" si="6"/>
        <v>0</v>
      </c>
      <c r="H64" s="174">
        <f t="shared" si="7"/>
        <v>20</v>
      </c>
    </row>
    <row r="65" spans="1:8" x14ac:dyDescent="0.25">
      <c r="A65" s="54">
        <f t="shared" si="8"/>
        <v>122</v>
      </c>
      <c r="B65" s="55">
        <f t="shared" si="12"/>
        <v>0</v>
      </c>
      <c r="C65" s="56">
        <f t="shared" si="13"/>
        <v>0</v>
      </c>
      <c r="D65" s="56">
        <f t="shared" si="14"/>
        <v>16</v>
      </c>
      <c r="E65" s="56">
        <f t="shared" si="15"/>
        <v>11</v>
      </c>
      <c r="F65" s="45">
        <f t="shared" si="5"/>
        <v>-6</v>
      </c>
      <c r="G65" s="45">
        <f t="shared" si="6"/>
        <v>0</v>
      </c>
      <c r="H65" s="174">
        <f t="shared" si="7"/>
        <v>21</v>
      </c>
    </row>
    <row r="66" spans="1:8" x14ac:dyDescent="0.25">
      <c r="A66" s="54">
        <f t="shared" si="8"/>
        <v>124</v>
      </c>
      <c r="B66" s="55">
        <f t="shared" si="12"/>
        <v>0</v>
      </c>
      <c r="C66" s="56">
        <f t="shared" si="13"/>
        <v>0</v>
      </c>
      <c r="D66" s="56">
        <f t="shared" si="14"/>
        <v>17</v>
      </c>
      <c r="E66" s="56">
        <f t="shared" si="15"/>
        <v>12</v>
      </c>
      <c r="F66" s="45">
        <f t="shared" si="5"/>
        <v>-7</v>
      </c>
      <c r="G66" s="45">
        <f t="shared" si="6"/>
        <v>0</v>
      </c>
      <c r="H66" s="174">
        <f t="shared" si="7"/>
        <v>22</v>
      </c>
    </row>
    <row r="67" spans="1:8" x14ac:dyDescent="0.25">
      <c r="A67" s="54">
        <f t="shared" si="8"/>
        <v>126</v>
      </c>
      <c r="B67" s="55">
        <f t="shared" si="12"/>
        <v>0</v>
      </c>
      <c r="C67" s="56">
        <f t="shared" si="13"/>
        <v>0</v>
      </c>
      <c r="D67" s="56">
        <f t="shared" si="14"/>
        <v>18</v>
      </c>
      <c r="E67" s="56">
        <f t="shared" si="15"/>
        <v>13</v>
      </c>
      <c r="F67" s="45">
        <f t="shared" si="5"/>
        <v>-8</v>
      </c>
      <c r="G67" s="45">
        <f t="shared" si="6"/>
        <v>0</v>
      </c>
      <c r="H67" s="174">
        <f t="shared" si="7"/>
        <v>23</v>
      </c>
    </row>
    <row r="68" spans="1:8" x14ac:dyDescent="0.25">
      <c r="A68" s="54">
        <f t="shared" si="8"/>
        <v>128</v>
      </c>
      <c r="B68" s="55">
        <f t="shared" ref="B68:B99" si="16">(MAX(IF($B$1="C",1,-1)*(A68-$M$5),0)-IF($M$10="Y",$M$13*EXP($M$6*$M$9),0))*$M$4</f>
        <v>0</v>
      </c>
      <c r="C68" s="56">
        <f t="shared" ref="C68:C104" si="17">(MAX(IF($C$1="C",1,-1)*(A68-$N$5),0)-IF($M$10="Y",$N$13*EXP($M$6*$M$9),0))*$N$4</f>
        <v>0</v>
      </c>
      <c r="D68" s="56">
        <f t="shared" ref="D68:D104" si="18">(MAX(IF($D$1="C",1,-1)*(A68-$O$5),0)-IF($M$10="Y",$O$13*EXP($M$6*$M$9),0))*$O$4</f>
        <v>19</v>
      </c>
      <c r="E68" s="56">
        <f t="shared" ref="E68:E104" si="19">(MAX(IF($E$1="C",1,-1)*(A68-$P$5),0)-IF($M$10="Y",$P$13*EXP($M$6*$M$9),0))*$P$4</f>
        <v>14</v>
      </c>
      <c r="F68" s="45">
        <f t="shared" si="5"/>
        <v>-9</v>
      </c>
      <c r="G68" s="45">
        <f t="shared" si="6"/>
        <v>0</v>
      </c>
      <c r="H68" s="174">
        <f t="shared" si="7"/>
        <v>24</v>
      </c>
    </row>
    <row r="69" spans="1:8" x14ac:dyDescent="0.25">
      <c r="A69" s="54">
        <f t="shared" si="8"/>
        <v>130</v>
      </c>
      <c r="B69" s="55">
        <f t="shared" si="16"/>
        <v>0</v>
      </c>
      <c r="C69" s="56">
        <f t="shared" si="17"/>
        <v>0</v>
      </c>
      <c r="D69" s="56">
        <f t="shared" si="18"/>
        <v>20</v>
      </c>
      <c r="E69" s="56">
        <f t="shared" si="19"/>
        <v>15</v>
      </c>
      <c r="F69" s="45">
        <f t="shared" ref="F69:F104" si="20">(MAX(IF($F$1="C",1,-1)*(A69-$Q$5),0)-IF($M$10="Y",$Q$13*EXP($M$6*$M$9),0))*$Q$4</f>
        <v>-10</v>
      </c>
      <c r="G69" s="45">
        <f t="shared" ref="G69:G104" si="21">(MAX(IF($G$1="C",1,-1)*(A69-$R$5),0)-IF($M$10="Y",$R$13*EXP($M$6*$M$9),0))*$R$4</f>
        <v>0</v>
      </c>
      <c r="H69" s="174">
        <f t="shared" ref="H69:H104" si="22">SUM(B69:G69)</f>
        <v>25</v>
      </c>
    </row>
    <row r="70" spans="1:8" x14ac:dyDescent="0.25">
      <c r="A70" s="54">
        <f t="shared" ref="A70:A104" si="23">A69+2</f>
        <v>132</v>
      </c>
      <c r="B70" s="55">
        <f t="shared" si="16"/>
        <v>0</v>
      </c>
      <c r="C70" s="56">
        <f t="shared" si="17"/>
        <v>0</v>
      </c>
      <c r="D70" s="56">
        <f t="shared" si="18"/>
        <v>21</v>
      </c>
      <c r="E70" s="56">
        <f t="shared" si="19"/>
        <v>16</v>
      </c>
      <c r="F70" s="45">
        <f t="shared" si="20"/>
        <v>-11</v>
      </c>
      <c r="G70" s="45">
        <f t="shared" si="21"/>
        <v>0</v>
      </c>
      <c r="H70" s="174">
        <f t="shared" si="22"/>
        <v>26</v>
      </c>
    </row>
    <row r="71" spans="1:8" x14ac:dyDescent="0.25">
      <c r="A71" s="54">
        <f t="shared" si="23"/>
        <v>134</v>
      </c>
      <c r="B71" s="55">
        <f t="shared" si="16"/>
        <v>0</v>
      </c>
      <c r="C71" s="56">
        <f t="shared" si="17"/>
        <v>0</v>
      </c>
      <c r="D71" s="56">
        <f t="shared" si="18"/>
        <v>22</v>
      </c>
      <c r="E71" s="56">
        <f t="shared" si="19"/>
        <v>17</v>
      </c>
      <c r="F71" s="45">
        <f t="shared" si="20"/>
        <v>-12</v>
      </c>
      <c r="G71" s="45">
        <f t="shared" si="21"/>
        <v>0</v>
      </c>
      <c r="H71" s="174">
        <f t="shared" si="22"/>
        <v>27</v>
      </c>
    </row>
    <row r="72" spans="1:8" x14ac:dyDescent="0.25">
      <c r="A72" s="54">
        <f t="shared" si="23"/>
        <v>136</v>
      </c>
      <c r="B72" s="55">
        <f t="shared" si="16"/>
        <v>0</v>
      </c>
      <c r="C72" s="56">
        <f t="shared" si="17"/>
        <v>0</v>
      </c>
      <c r="D72" s="56">
        <f t="shared" si="18"/>
        <v>23</v>
      </c>
      <c r="E72" s="56">
        <f t="shared" si="19"/>
        <v>18</v>
      </c>
      <c r="F72" s="45">
        <f t="shared" si="20"/>
        <v>-13</v>
      </c>
      <c r="G72" s="45">
        <f t="shared" si="21"/>
        <v>0</v>
      </c>
      <c r="H72" s="174">
        <f t="shared" si="22"/>
        <v>28</v>
      </c>
    </row>
    <row r="73" spans="1:8" x14ac:dyDescent="0.25">
      <c r="A73" s="54">
        <f t="shared" si="23"/>
        <v>138</v>
      </c>
      <c r="B73" s="55">
        <f t="shared" si="16"/>
        <v>0</v>
      </c>
      <c r="C73" s="56">
        <f t="shared" si="17"/>
        <v>0</v>
      </c>
      <c r="D73" s="56">
        <f t="shared" si="18"/>
        <v>24</v>
      </c>
      <c r="E73" s="56">
        <f t="shared" si="19"/>
        <v>19</v>
      </c>
      <c r="F73" s="45">
        <f t="shared" si="20"/>
        <v>-14</v>
      </c>
      <c r="G73" s="45">
        <f t="shared" si="21"/>
        <v>0</v>
      </c>
      <c r="H73" s="174">
        <f t="shared" si="22"/>
        <v>29</v>
      </c>
    </row>
    <row r="74" spans="1:8" x14ac:dyDescent="0.25">
      <c r="A74" s="54">
        <f t="shared" si="23"/>
        <v>140</v>
      </c>
      <c r="B74" s="55">
        <f t="shared" si="16"/>
        <v>0</v>
      </c>
      <c r="C74" s="56">
        <f t="shared" si="17"/>
        <v>0</v>
      </c>
      <c r="D74" s="56">
        <f t="shared" si="18"/>
        <v>25</v>
      </c>
      <c r="E74" s="56">
        <f t="shared" si="19"/>
        <v>20</v>
      </c>
      <c r="F74" s="45">
        <f t="shared" si="20"/>
        <v>-15</v>
      </c>
      <c r="G74" s="45">
        <f t="shared" si="21"/>
        <v>0</v>
      </c>
      <c r="H74" s="174">
        <f t="shared" si="22"/>
        <v>30</v>
      </c>
    </row>
    <row r="75" spans="1:8" x14ac:dyDescent="0.25">
      <c r="A75" s="54">
        <f t="shared" si="23"/>
        <v>142</v>
      </c>
      <c r="B75" s="55">
        <f t="shared" si="16"/>
        <v>0</v>
      </c>
      <c r="C75" s="56">
        <f t="shared" si="17"/>
        <v>0</v>
      </c>
      <c r="D75" s="56">
        <f t="shared" si="18"/>
        <v>26</v>
      </c>
      <c r="E75" s="56">
        <f t="shared" si="19"/>
        <v>21</v>
      </c>
      <c r="F75" s="45">
        <f t="shared" si="20"/>
        <v>-16</v>
      </c>
      <c r="G75" s="45">
        <f t="shared" si="21"/>
        <v>0</v>
      </c>
      <c r="H75" s="174">
        <f t="shared" si="22"/>
        <v>31</v>
      </c>
    </row>
    <row r="76" spans="1:8" x14ac:dyDescent="0.25">
      <c r="A76" s="54">
        <f t="shared" si="23"/>
        <v>144</v>
      </c>
      <c r="B76" s="55">
        <f t="shared" si="16"/>
        <v>0</v>
      </c>
      <c r="C76" s="56">
        <f t="shared" si="17"/>
        <v>0</v>
      </c>
      <c r="D76" s="56">
        <f t="shared" si="18"/>
        <v>27</v>
      </c>
      <c r="E76" s="56">
        <f t="shared" si="19"/>
        <v>22</v>
      </c>
      <c r="F76" s="45">
        <f t="shared" si="20"/>
        <v>-17</v>
      </c>
      <c r="G76" s="45">
        <f t="shared" si="21"/>
        <v>0</v>
      </c>
      <c r="H76" s="174">
        <f t="shared" si="22"/>
        <v>32</v>
      </c>
    </row>
    <row r="77" spans="1:8" x14ac:dyDescent="0.25">
      <c r="A77" s="54">
        <f t="shared" si="23"/>
        <v>146</v>
      </c>
      <c r="B77" s="55">
        <f t="shared" si="16"/>
        <v>0</v>
      </c>
      <c r="C77" s="56">
        <f t="shared" si="17"/>
        <v>0</v>
      </c>
      <c r="D77" s="56">
        <f t="shared" si="18"/>
        <v>28</v>
      </c>
      <c r="E77" s="56">
        <f t="shared" si="19"/>
        <v>23</v>
      </c>
      <c r="F77" s="45">
        <f t="shared" si="20"/>
        <v>-18</v>
      </c>
      <c r="G77" s="45">
        <f t="shared" si="21"/>
        <v>0</v>
      </c>
      <c r="H77" s="174">
        <f t="shared" si="22"/>
        <v>33</v>
      </c>
    </row>
    <row r="78" spans="1:8" x14ac:dyDescent="0.25">
      <c r="A78" s="54">
        <f t="shared" si="23"/>
        <v>148</v>
      </c>
      <c r="B78" s="55">
        <f t="shared" si="16"/>
        <v>0</v>
      </c>
      <c r="C78" s="56">
        <f t="shared" si="17"/>
        <v>0</v>
      </c>
      <c r="D78" s="56">
        <f t="shared" si="18"/>
        <v>29</v>
      </c>
      <c r="E78" s="56">
        <f t="shared" si="19"/>
        <v>24</v>
      </c>
      <c r="F78" s="45">
        <f t="shared" si="20"/>
        <v>-19</v>
      </c>
      <c r="G78" s="45">
        <f t="shared" si="21"/>
        <v>0</v>
      </c>
      <c r="H78" s="174">
        <f t="shared" si="22"/>
        <v>34</v>
      </c>
    </row>
    <row r="79" spans="1:8" x14ac:dyDescent="0.25">
      <c r="A79" s="54">
        <f t="shared" si="23"/>
        <v>150</v>
      </c>
      <c r="B79" s="55">
        <f t="shared" si="16"/>
        <v>0</v>
      </c>
      <c r="C79" s="56">
        <f t="shared" si="17"/>
        <v>0</v>
      </c>
      <c r="D79" s="56">
        <f t="shared" si="18"/>
        <v>30</v>
      </c>
      <c r="E79" s="56">
        <f t="shared" si="19"/>
        <v>25</v>
      </c>
      <c r="F79" s="45">
        <f t="shared" si="20"/>
        <v>-20</v>
      </c>
      <c r="G79" s="45">
        <f t="shared" si="21"/>
        <v>0</v>
      </c>
      <c r="H79" s="174">
        <f t="shared" si="22"/>
        <v>35</v>
      </c>
    </row>
    <row r="80" spans="1:8" x14ac:dyDescent="0.25">
      <c r="A80" s="54">
        <f t="shared" si="23"/>
        <v>152</v>
      </c>
      <c r="B80" s="55">
        <f t="shared" si="16"/>
        <v>0</v>
      </c>
      <c r="C80" s="56">
        <f t="shared" si="17"/>
        <v>0</v>
      </c>
      <c r="D80" s="56">
        <f t="shared" si="18"/>
        <v>31</v>
      </c>
      <c r="E80" s="56">
        <f t="shared" si="19"/>
        <v>26</v>
      </c>
      <c r="F80" s="45">
        <f t="shared" si="20"/>
        <v>-21</v>
      </c>
      <c r="G80" s="45">
        <f t="shared" si="21"/>
        <v>0</v>
      </c>
      <c r="H80" s="174">
        <f t="shared" si="22"/>
        <v>36</v>
      </c>
    </row>
    <row r="81" spans="1:8" x14ac:dyDescent="0.25">
      <c r="A81" s="54">
        <f t="shared" si="23"/>
        <v>154</v>
      </c>
      <c r="B81" s="55">
        <f t="shared" si="16"/>
        <v>0</v>
      </c>
      <c r="C81" s="56">
        <f t="shared" si="17"/>
        <v>0</v>
      </c>
      <c r="D81" s="56">
        <f t="shared" si="18"/>
        <v>32</v>
      </c>
      <c r="E81" s="56">
        <f t="shared" si="19"/>
        <v>27</v>
      </c>
      <c r="F81" s="45">
        <f t="shared" si="20"/>
        <v>-22</v>
      </c>
      <c r="G81" s="45">
        <f t="shared" si="21"/>
        <v>0</v>
      </c>
      <c r="H81" s="174">
        <f t="shared" si="22"/>
        <v>37</v>
      </c>
    </row>
    <row r="82" spans="1:8" x14ac:dyDescent="0.25">
      <c r="A82" s="54">
        <f t="shared" si="23"/>
        <v>156</v>
      </c>
      <c r="B82" s="55">
        <f t="shared" si="16"/>
        <v>0</v>
      </c>
      <c r="C82" s="56">
        <f t="shared" si="17"/>
        <v>0</v>
      </c>
      <c r="D82" s="56">
        <f t="shared" si="18"/>
        <v>33</v>
      </c>
      <c r="E82" s="56">
        <f t="shared" si="19"/>
        <v>28</v>
      </c>
      <c r="F82" s="45">
        <f t="shared" si="20"/>
        <v>-23</v>
      </c>
      <c r="G82" s="45">
        <f t="shared" si="21"/>
        <v>0</v>
      </c>
      <c r="H82" s="174">
        <f t="shared" si="22"/>
        <v>38</v>
      </c>
    </row>
    <row r="83" spans="1:8" x14ac:dyDescent="0.25">
      <c r="A83" s="54">
        <f t="shared" si="23"/>
        <v>158</v>
      </c>
      <c r="B83" s="55">
        <f t="shared" si="16"/>
        <v>0</v>
      </c>
      <c r="C83" s="56">
        <f t="shared" si="17"/>
        <v>0</v>
      </c>
      <c r="D83" s="56">
        <f t="shared" si="18"/>
        <v>34</v>
      </c>
      <c r="E83" s="56">
        <f t="shared" si="19"/>
        <v>29</v>
      </c>
      <c r="F83" s="45">
        <f t="shared" si="20"/>
        <v>-24</v>
      </c>
      <c r="G83" s="45">
        <f t="shared" si="21"/>
        <v>0</v>
      </c>
      <c r="H83" s="174">
        <f t="shared" si="22"/>
        <v>39</v>
      </c>
    </row>
    <row r="84" spans="1:8" x14ac:dyDescent="0.25">
      <c r="A84" s="54">
        <f t="shared" si="23"/>
        <v>160</v>
      </c>
      <c r="B84" s="55">
        <f t="shared" si="16"/>
        <v>0</v>
      </c>
      <c r="C84" s="56">
        <f t="shared" si="17"/>
        <v>0</v>
      </c>
      <c r="D84" s="56">
        <f t="shared" si="18"/>
        <v>35</v>
      </c>
      <c r="E84" s="56">
        <f t="shared" si="19"/>
        <v>30</v>
      </c>
      <c r="F84" s="45">
        <f t="shared" si="20"/>
        <v>-25</v>
      </c>
      <c r="G84" s="45">
        <f t="shared" si="21"/>
        <v>0</v>
      </c>
      <c r="H84" s="174">
        <f t="shared" si="22"/>
        <v>40</v>
      </c>
    </row>
    <row r="85" spans="1:8" x14ac:dyDescent="0.25">
      <c r="A85" s="54">
        <f t="shared" si="23"/>
        <v>162</v>
      </c>
      <c r="B85" s="55">
        <f t="shared" si="16"/>
        <v>0</v>
      </c>
      <c r="C85" s="56">
        <f t="shared" si="17"/>
        <v>0</v>
      </c>
      <c r="D85" s="56">
        <f t="shared" si="18"/>
        <v>36</v>
      </c>
      <c r="E85" s="56">
        <f t="shared" si="19"/>
        <v>31</v>
      </c>
      <c r="F85" s="45">
        <f t="shared" si="20"/>
        <v>-26</v>
      </c>
      <c r="G85" s="45">
        <f t="shared" si="21"/>
        <v>0</v>
      </c>
      <c r="H85" s="174">
        <f t="shared" si="22"/>
        <v>41</v>
      </c>
    </row>
    <row r="86" spans="1:8" x14ac:dyDescent="0.25">
      <c r="A86" s="54">
        <f t="shared" si="23"/>
        <v>164</v>
      </c>
      <c r="B86" s="55">
        <f t="shared" si="16"/>
        <v>0</v>
      </c>
      <c r="C86" s="56">
        <f t="shared" si="17"/>
        <v>0</v>
      </c>
      <c r="D86" s="56">
        <f t="shared" si="18"/>
        <v>37</v>
      </c>
      <c r="E86" s="56">
        <f t="shared" si="19"/>
        <v>32</v>
      </c>
      <c r="F86" s="45">
        <f t="shared" si="20"/>
        <v>-27</v>
      </c>
      <c r="G86" s="45">
        <f t="shared" si="21"/>
        <v>0</v>
      </c>
      <c r="H86" s="174">
        <f t="shared" si="22"/>
        <v>42</v>
      </c>
    </row>
    <row r="87" spans="1:8" x14ac:dyDescent="0.25">
      <c r="A87" s="54">
        <f t="shared" si="23"/>
        <v>166</v>
      </c>
      <c r="B87" s="55">
        <f t="shared" si="16"/>
        <v>0</v>
      </c>
      <c r="C87" s="56">
        <f t="shared" si="17"/>
        <v>0</v>
      </c>
      <c r="D87" s="56">
        <f t="shared" si="18"/>
        <v>38</v>
      </c>
      <c r="E87" s="56">
        <f t="shared" si="19"/>
        <v>33</v>
      </c>
      <c r="F87" s="45">
        <f t="shared" si="20"/>
        <v>-28</v>
      </c>
      <c r="G87" s="45">
        <f t="shared" si="21"/>
        <v>0</v>
      </c>
      <c r="H87" s="174">
        <f t="shared" si="22"/>
        <v>43</v>
      </c>
    </row>
    <row r="88" spans="1:8" x14ac:dyDescent="0.25">
      <c r="A88" s="54">
        <f t="shared" si="23"/>
        <v>168</v>
      </c>
      <c r="B88" s="55">
        <f t="shared" si="16"/>
        <v>0</v>
      </c>
      <c r="C88" s="56">
        <f t="shared" si="17"/>
        <v>0</v>
      </c>
      <c r="D88" s="56">
        <f t="shared" si="18"/>
        <v>39</v>
      </c>
      <c r="E88" s="56">
        <f t="shared" si="19"/>
        <v>34</v>
      </c>
      <c r="F88" s="45">
        <f t="shared" si="20"/>
        <v>-29</v>
      </c>
      <c r="G88" s="45">
        <f t="shared" si="21"/>
        <v>0</v>
      </c>
      <c r="H88" s="174">
        <f t="shared" si="22"/>
        <v>44</v>
      </c>
    </row>
    <row r="89" spans="1:8" x14ac:dyDescent="0.25">
      <c r="A89" s="54">
        <f t="shared" si="23"/>
        <v>170</v>
      </c>
      <c r="B89" s="55">
        <f t="shared" si="16"/>
        <v>0</v>
      </c>
      <c r="C89" s="56">
        <f t="shared" si="17"/>
        <v>0</v>
      </c>
      <c r="D89" s="56">
        <f t="shared" si="18"/>
        <v>40</v>
      </c>
      <c r="E89" s="56">
        <f t="shared" si="19"/>
        <v>35</v>
      </c>
      <c r="F89" s="45">
        <f t="shared" si="20"/>
        <v>-30</v>
      </c>
      <c r="G89" s="45">
        <f t="shared" si="21"/>
        <v>0</v>
      </c>
      <c r="H89" s="174">
        <f t="shared" si="22"/>
        <v>45</v>
      </c>
    </row>
    <row r="90" spans="1:8" x14ac:dyDescent="0.25">
      <c r="A90" s="54">
        <f t="shared" si="23"/>
        <v>172</v>
      </c>
      <c r="B90" s="55">
        <f t="shared" si="16"/>
        <v>0</v>
      </c>
      <c r="C90" s="56">
        <f t="shared" si="17"/>
        <v>0</v>
      </c>
      <c r="D90" s="56">
        <f t="shared" si="18"/>
        <v>41</v>
      </c>
      <c r="E90" s="56">
        <f t="shared" si="19"/>
        <v>36</v>
      </c>
      <c r="F90" s="45">
        <f t="shared" si="20"/>
        <v>-31</v>
      </c>
      <c r="G90" s="45">
        <f t="shared" si="21"/>
        <v>0</v>
      </c>
      <c r="H90" s="174">
        <f t="shared" si="22"/>
        <v>46</v>
      </c>
    </row>
    <row r="91" spans="1:8" x14ac:dyDescent="0.25">
      <c r="A91" s="54">
        <f t="shared" si="23"/>
        <v>174</v>
      </c>
      <c r="B91" s="55">
        <f t="shared" si="16"/>
        <v>0</v>
      </c>
      <c r="C91" s="56">
        <f t="shared" si="17"/>
        <v>0</v>
      </c>
      <c r="D91" s="56">
        <f t="shared" si="18"/>
        <v>42</v>
      </c>
      <c r="E91" s="56">
        <f t="shared" si="19"/>
        <v>37</v>
      </c>
      <c r="F91" s="45">
        <f t="shared" si="20"/>
        <v>-32</v>
      </c>
      <c r="G91" s="45">
        <f t="shared" si="21"/>
        <v>0</v>
      </c>
      <c r="H91" s="174">
        <f t="shared" si="22"/>
        <v>47</v>
      </c>
    </row>
    <row r="92" spans="1:8" x14ac:dyDescent="0.25">
      <c r="A92" s="54">
        <f t="shared" si="23"/>
        <v>176</v>
      </c>
      <c r="B92" s="55">
        <f t="shared" si="16"/>
        <v>0</v>
      </c>
      <c r="C92" s="56">
        <f t="shared" si="17"/>
        <v>0</v>
      </c>
      <c r="D92" s="56">
        <f t="shared" si="18"/>
        <v>43</v>
      </c>
      <c r="E92" s="56">
        <f t="shared" si="19"/>
        <v>38</v>
      </c>
      <c r="F92" s="45">
        <f t="shared" si="20"/>
        <v>-33</v>
      </c>
      <c r="G92" s="45">
        <f t="shared" si="21"/>
        <v>0</v>
      </c>
      <c r="H92" s="174">
        <f t="shared" si="22"/>
        <v>48</v>
      </c>
    </row>
    <row r="93" spans="1:8" x14ac:dyDescent="0.25">
      <c r="A93" s="54">
        <f t="shared" si="23"/>
        <v>178</v>
      </c>
      <c r="B93" s="55">
        <f t="shared" si="16"/>
        <v>0</v>
      </c>
      <c r="C93" s="56">
        <f t="shared" si="17"/>
        <v>0</v>
      </c>
      <c r="D93" s="56">
        <f t="shared" si="18"/>
        <v>44</v>
      </c>
      <c r="E93" s="56">
        <f t="shared" si="19"/>
        <v>39</v>
      </c>
      <c r="F93" s="45">
        <f t="shared" si="20"/>
        <v>-34</v>
      </c>
      <c r="G93" s="45">
        <f t="shared" si="21"/>
        <v>0</v>
      </c>
      <c r="H93" s="174">
        <f t="shared" si="22"/>
        <v>49</v>
      </c>
    </row>
    <row r="94" spans="1:8" x14ac:dyDescent="0.25">
      <c r="A94" s="54">
        <f t="shared" si="23"/>
        <v>180</v>
      </c>
      <c r="B94" s="55">
        <f t="shared" si="16"/>
        <v>0</v>
      </c>
      <c r="C94" s="56">
        <f t="shared" si="17"/>
        <v>0</v>
      </c>
      <c r="D94" s="56">
        <f t="shared" si="18"/>
        <v>45</v>
      </c>
      <c r="E94" s="56">
        <f t="shared" si="19"/>
        <v>40</v>
      </c>
      <c r="F94" s="45">
        <f t="shared" si="20"/>
        <v>-35</v>
      </c>
      <c r="G94" s="45">
        <f t="shared" si="21"/>
        <v>0</v>
      </c>
      <c r="H94" s="174">
        <f t="shared" si="22"/>
        <v>50</v>
      </c>
    </row>
    <row r="95" spans="1:8" x14ac:dyDescent="0.25">
      <c r="A95" s="54">
        <f t="shared" si="23"/>
        <v>182</v>
      </c>
      <c r="B95" s="55">
        <f t="shared" si="16"/>
        <v>0</v>
      </c>
      <c r="C95" s="56">
        <f t="shared" si="17"/>
        <v>0</v>
      </c>
      <c r="D95" s="56">
        <f t="shared" si="18"/>
        <v>46</v>
      </c>
      <c r="E95" s="56">
        <f t="shared" si="19"/>
        <v>41</v>
      </c>
      <c r="F95" s="45">
        <f t="shared" si="20"/>
        <v>-36</v>
      </c>
      <c r="G95" s="45">
        <f t="shared" si="21"/>
        <v>0</v>
      </c>
      <c r="H95" s="174">
        <f t="shared" si="22"/>
        <v>51</v>
      </c>
    </row>
    <row r="96" spans="1:8" x14ac:dyDescent="0.25">
      <c r="A96" s="54">
        <f t="shared" si="23"/>
        <v>184</v>
      </c>
      <c r="B96" s="55">
        <f t="shared" si="16"/>
        <v>0</v>
      </c>
      <c r="C96" s="56">
        <f t="shared" si="17"/>
        <v>0</v>
      </c>
      <c r="D96" s="56">
        <f t="shared" si="18"/>
        <v>47</v>
      </c>
      <c r="E96" s="56">
        <f t="shared" si="19"/>
        <v>42</v>
      </c>
      <c r="F96" s="45">
        <f t="shared" si="20"/>
        <v>-37</v>
      </c>
      <c r="G96" s="45">
        <f t="shared" si="21"/>
        <v>0</v>
      </c>
      <c r="H96" s="174">
        <f t="shared" si="22"/>
        <v>52</v>
      </c>
    </row>
    <row r="97" spans="1:8" x14ac:dyDescent="0.25">
      <c r="A97" s="54">
        <f t="shared" si="23"/>
        <v>186</v>
      </c>
      <c r="B97" s="55">
        <f t="shared" si="16"/>
        <v>0</v>
      </c>
      <c r="C97" s="56">
        <f t="shared" si="17"/>
        <v>0</v>
      </c>
      <c r="D97" s="56">
        <f t="shared" si="18"/>
        <v>48</v>
      </c>
      <c r="E97" s="56">
        <f t="shared" si="19"/>
        <v>43</v>
      </c>
      <c r="F97" s="45">
        <f t="shared" si="20"/>
        <v>-38</v>
      </c>
      <c r="G97" s="45">
        <f t="shared" si="21"/>
        <v>0</v>
      </c>
      <c r="H97" s="174">
        <f t="shared" si="22"/>
        <v>53</v>
      </c>
    </row>
    <row r="98" spans="1:8" x14ac:dyDescent="0.25">
      <c r="A98" s="54">
        <f t="shared" si="23"/>
        <v>188</v>
      </c>
      <c r="B98" s="55">
        <f t="shared" si="16"/>
        <v>0</v>
      </c>
      <c r="C98" s="56">
        <f t="shared" si="17"/>
        <v>0</v>
      </c>
      <c r="D98" s="56">
        <f t="shared" si="18"/>
        <v>49</v>
      </c>
      <c r="E98" s="56">
        <f t="shared" si="19"/>
        <v>44</v>
      </c>
      <c r="F98" s="45">
        <f t="shared" si="20"/>
        <v>-39</v>
      </c>
      <c r="G98" s="45">
        <f t="shared" si="21"/>
        <v>0</v>
      </c>
      <c r="H98" s="174">
        <f t="shared" si="22"/>
        <v>54</v>
      </c>
    </row>
    <row r="99" spans="1:8" x14ac:dyDescent="0.25">
      <c r="A99" s="54">
        <f t="shared" si="23"/>
        <v>190</v>
      </c>
      <c r="B99" s="55">
        <f t="shared" si="16"/>
        <v>0</v>
      </c>
      <c r="C99" s="56">
        <f t="shared" si="17"/>
        <v>0</v>
      </c>
      <c r="D99" s="56">
        <f t="shared" si="18"/>
        <v>50</v>
      </c>
      <c r="E99" s="56">
        <f t="shared" si="19"/>
        <v>45</v>
      </c>
      <c r="F99" s="45">
        <f t="shared" si="20"/>
        <v>-40</v>
      </c>
      <c r="G99" s="45">
        <f t="shared" si="21"/>
        <v>0</v>
      </c>
      <c r="H99" s="174">
        <f t="shared" si="22"/>
        <v>55</v>
      </c>
    </row>
    <row r="100" spans="1:8" x14ac:dyDescent="0.25">
      <c r="A100" s="54">
        <f t="shared" si="23"/>
        <v>192</v>
      </c>
      <c r="B100" s="55">
        <f t="shared" ref="B100:B131" si="24">(MAX(IF($B$1="C",1,-1)*(A100-$M$5),0)-IF($M$10="Y",$M$13*EXP($M$6*$M$9),0))*$M$4</f>
        <v>0</v>
      </c>
      <c r="C100" s="56">
        <f t="shared" si="17"/>
        <v>0</v>
      </c>
      <c r="D100" s="56">
        <f t="shared" si="18"/>
        <v>51</v>
      </c>
      <c r="E100" s="56">
        <f t="shared" si="19"/>
        <v>46</v>
      </c>
      <c r="F100" s="45">
        <f t="shared" si="20"/>
        <v>-41</v>
      </c>
      <c r="G100" s="45">
        <f t="shared" si="21"/>
        <v>0</v>
      </c>
      <c r="H100" s="174">
        <f t="shared" si="22"/>
        <v>56</v>
      </c>
    </row>
    <row r="101" spans="1:8" x14ac:dyDescent="0.25">
      <c r="A101" s="54">
        <f t="shared" si="23"/>
        <v>194</v>
      </c>
      <c r="B101" s="55">
        <f t="shared" si="24"/>
        <v>0</v>
      </c>
      <c r="C101" s="56">
        <f t="shared" si="17"/>
        <v>0</v>
      </c>
      <c r="D101" s="56">
        <f t="shared" si="18"/>
        <v>52</v>
      </c>
      <c r="E101" s="56">
        <f t="shared" si="19"/>
        <v>47</v>
      </c>
      <c r="F101" s="45">
        <f t="shared" si="20"/>
        <v>-42</v>
      </c>
      <c r="G101" s="45">
        <f t="shared" si="21"/>
        <v>0</v>
      </c>
      <c r="H101" s="174">
        <f t="shared" si="22"/>
        <v>57</v>
      </c>
    </row>
    <row r="102" spans="1:8" x14ac:dyDescent="0.25">
      <c r="A102" s="54">
        <f t="shared" si="23"/>
        <v>196</v>
      </c>
      <c r="B102" s="55">
        <f t="shared" si="24"/>
        <v>0</v>
      </c>
      <c r="C102" s="56">
        <f t="shared" si="17"/>
        <v>0</v>
      </c>
      <c r="D102" s="56">
        <f t="shared" si="18"/>
        <v>53</v>
      </c>
      <c r="E102" s="56">
        <f t="shared" si="19"/>
        <v>48</v>
      </c>
      <c r="F102" s="45">
        <f t="shared" si="20"/>
        <v>-43</v>
      </c>
      <c r="G102" s="45">
        <f t="shared" si="21"/>
        <v>0</v>
      </c>
      <c r="H102" s="174">
        <f t="shared" si="22"/>
        <v>58</v>
      </c>
    </row>
    <row r="103" spans="1:8" x14ac:dyDescent="0.25">
      <c r="A103" s="54">
        <f t="shared" si="23"/>
        <v>198</v>
      </c>
      <c r="B103" s="55">
        <f t="shared" si="24"/>
        <v>0</v>
      </c>
      <c r="C103" s="56">
        <f t="shared" si="17"/>
        <v>0</v>
      </c>
      <c r="D103" s="56">
        <f t="shared" si="18"/>
        <v>54</v>
      </c>
      <c r="E103" s="56">
        <f t="shared" si="19"/>
        <v>49</v>
      </c>
      <c r="F103" s="45">
        <f t="shared" si="20"/>
        <v>-44</v>
      </c>
      <c r="G103" s="45">
        <f t="shared" si="21"/>
        <v>0</v>
      </c>
      <c r="H103" s="174">
        <f t="shared" si="22"/>
        <v>59</v>
      </c>
    </row>
    <row r="104" spans="1:8" x14ac:dyDescent="0.25">
      <c r="A104" s="64">
        <f t="shared" si="23"/>
        <v>200</v>
      </c>
      <c r="B104" s="65">
        <f t="shared" si="24"/>
        <v>0</v>
      </c>
      <c r="C104" s="58">
        <f t="shared" si="17"/>
        <v>0</v>
      </c>
      <c r="D104" s="58">
        <f t="shared" si="18"/>
        <v>55</v>
      </c>
      <c r="E104" s="58">
        <f t="shared" si="19"/>
        <v>50</v>
      </c>
      <c r="F104" s="45">
        <f t="shared" si="20"/>
        <v>-45</v>
      </c>
      <c r="G104" s="45">
        <f t="shared" si="21"/>
        <v>0</v>
      </c>
      <c r="H104" s="174">
        <f t="shared" si="22"/>
        <v>60</v>
      </c>
    </row>
    <row r="105" spans="1:8" x14ac:dyDescent="0.25">
      <c r="A105" s="54"/>
    </row>
    <row r="106" spans="1:8" x14ac:dyDescent="0.25">
      <c r="A106" s="54"/>
    </row>
    <row r="107" spans="1:8" x14ac:dyDescent="0.25">
      <c r="A107" s="54"/>
    </row>
    <row r="108" spans="1:8" x14ac:dyDescent="0.25">
      <c r="A108" s="54"/>
    </row>
    <row r="109" spans="1:8" x14ac:dyDescent="0.25">
      <c r="A109" s="54"/>
    </row>
    <row r="110" spans="1:8" x14ac:dyDescent="0.25">
      <c r="A110" s="54"/>
    </row>
    <row r="111" spans="1:8" x14ac:dyDescent="0.25">
      <c r="A111" s="54"/>
    </row>
    <row r="112" spans="1:8"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row r="118" spans="1:1" x14ac:dyDescent="0.25">
      <c r="A118" s="54"/>
    </row>
    <row r="119" spans="1:1" x14ac:dyDescent="0.25">
      <c r="A119" s="54"/>
    </row>
    <row r="120" spans="1:1" x14ac:dyDescent="0.25">
      <c r="A120" s="54"/>
    </row>
    <row r="121" spans="1:1" x14ac:dyDescent="0.25">
      <c r="A121" s="54"/>
    </row>
    <row r="122" spans="1:1" x14ac:dyDescent="0.25">
      <c r="A122" s="54"/>
    </row>
    <row r="123" spans="1:1" x14ac:dyDescent="0.25">
      <c r="A123" s="54"/>
    </row>
    <row r="124" spans="1:1" x14ac:dyDescent="0.25">
      <c r="A124" s="54"/>
    </row>
    <row r="125" spans="1:1" x14ac:dyDescent="0.25">
      <c r="A125" s="54"/>
    </row>
    <row r="126" spans="1:1" x14ac:dyDescent="0.25">
      <c r="A126" s="54"/>
    </row>
    <row r="127" spans="1:1" x14ac:dyDescent="0.25">
      <c r="A127" s="54"/>
    </row>
    <row r="128" spans="1:1" x14ac:dyDescent="0.25">
      <c r="A128" s="54"/>
    </row>
    <row r="129" spans="1:1" x14ac:dyDescent="0.25">
      <c r="A129" s="54"/>
    </row>
    <row r="130" spans="1:1" x14ac:dyDescent="0.25">
      <c r="A130" s="54"/>
    </row>
    <row r="131" spans="1:1" x14ac:dyDescent="0.25">
      <c r="A131" s="54"/>
    </row>
    <row r="132" spans="1:1" x14ac:dyDescent="0.25">
      <c r="A132" s="54"/>
    </row>
  </sheetData>
  <mergeCells count="16">
    <mergeCell ref="A1:A2"/>
    <mergeCell ref="B1:B2"/>
    <mergeCell ref="C1:C2"/>
    <mergeCell ref="D1:D2"/>
    <mergeCell ref="E1:E2"/>
    <mergeCell ref="G1:G2"/>
    <mergeCell ref="H1:H3"/>
    <mergeCell ref="K2:K10"/>
    <mergeCell ref="M2:P2"/>
    <mergeCell ref="B3:E3"/>
    <mergeCell ref="M6:P6"/>
    <mergeCell ref="M7:P7"/>
    <mergeCell ref="M8:P8"/>
    <mergeCell ref="M9:P9"/>
    <mergeCell ref="M10:P10"/>
    <mergeCell ref="F1:F2"/>
  </mergeCells>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107</vt:i4>
      </vt:variant>
    </vt:vector>
  </HeadingPairs>
  <TitlesOfParts>
    <vt:vector size="107" baseType="lpstr">
      <vt:lpstr>Slide 5</vt:lpstr>
      <vt:lpstr>Slide 13a</vt:lpstr>
      <vt:lpstr>Slide 13b</vt:lpstr>
      <vt:lpstr>Slide 16</vt:lpstr>
      <vt:lpstr>Slide 17_new</vt:lpstr>
      <vt:lpstr>Slide 20</vt:lpstr>
      <vt:lpstr>Slide 27</vt:lpstr>
      <vt:lpstr>Slide 29a</vt:lpstr>
      <vt:lpstr>Slide 29b</vt:lpstr>
      <vt:lpstr>Slide 36</vt:lpstr>
      <vt:lpstr>Slide 37</vt:lpstr>
      <vt:lpstr>Slide 37_new</vt:lpstr>
      <vt:lpstr>Slide 38</vt:lpstr>
      <vt:lpstr>Slide 40</vt:lpstr>
      <vt:lpstr>Slide 40_General</vt:lpstr>
      <vt:lpstr>Slide 47a</vt:lpstr>
      <vt:lpstr>Slide 47b</vt:lpstr>
      <vt:lpstr>Slide 47c</vt:lpstr>
      <vt:lpstr>Slide 47c1_new</vt:lpstr>
      <vt:lpstr>Slide 47c2_new</vt:lpstr>
      <vt:lpstr>Slide 48_new</vt:lpstr>
      <vt:lpstr>Slide 49 A over A_new</vt:lpstr>
      <vt:lpstr>Slide 49 A over 360_new</vt:lpstr>
      <vt:lpstr>Slide 50_new</vt:lpstr>
      <vt:lpstr>Slide 52a - regular</vt:lpstr>
      <vt:lpstr>Slide 52b - zero</vt:lpstr>
      <vt:lpstr>Slide 52c - comparison</vt:lpstr>
      <vt:lpstr>Slide 53a</vt:lpstr>
      <vt:lpstr>Slide 53b</vt:lpstr>
      <vt:lpstr>Slide 54</vt:lpstr>
      <vt:lpstr>Slide 64a</vt:lpstr>
      <vt:lpstr>Slide 64b</vt:lpstr>
      <vt:lpstr>Slide 69</vt:lpstr>
      <vt:lpstr>Slide 70_new</vt:lpstr>
      <vt:lpstr>Slide 73 (3 instruments)</vt:lpstr>
      <vt:lpstr>Slide 73 (4 instruments)</vt:lpstr>
      <vt:lpstr>Slide 73 (all instruments)</vt:lpstr>
      <vt:lpstr>Slide 76_new</vt:lpstr>
      <vt:lpstr>Slide 77_1</vt:lpstr>
      <vt:lpstr>Slide 77_2</vt:lpstr>
      <vt:lpstr>Slide 77_3</vt:lpstr>
      <vt:lpstr>Slide 78</vt:lpstr>
      <vt:lpstr>Slide 78_new</vt:lpstr>
      <vt:lpstr>Slide 81</vt:lpstr>
      <vt:lpstr>Slide 82</vt:lpstr>
      <vt:lpstr>Slide 84</vt:lpstr>
      <vt:lpstr>Slide 86a</vt:lpstr>
      <vt:lpstr>Slide 86b</vt:lpstr>
      <vt:lpstr>Slide 87_new</vt:lpstr>
      <vt:lpstr>Slide 91</vt:lpstr>
      <vt:lpstr>Slide 94_data</vt:lpstr>
      <vt:lpstr>Slide 94_solution</vt:lpstr>
      <vt:lpstr>Slide 98a</vt:lpstr>
      <vt:lpstr>Slide 98b</vt:lpstr>
      <vt:lpstr>Slide 101 - 1</vt:lpstr>
      <vt:lpstr>Slide 101 - 2</vt:lpstr>
      <vt:lpstr>Slide 101 - 3</vt:lpstr>
      <vt:lpstr>Slide 103a</vt:lpstr>
      <vt:lpstr>Slide 103b</vt:lpstr>
      <vt:lpstr>Slide 104</vt:lpstr>
      <vt:lpstr>Slide 104_new</vt:lpstr>
      <vt:lpstr>Slide 111</vt:lpstr>
      <vt:lpstr>Slide 112</vt:lpstr>
      <vt:lpstr>Slide 112_new</vt:lpstr>
      <vt:lpstr>Slide 113</vt:lpstr>
      <vt:lpstr>Slide 113_new</vt:lpstr>
      <vt:lpstr>Slide 114</vt:lpstr>
      <vt:lpstr>Slide 114_new</vt:lpstr>
      <vt:lpstr>Slide 118a</vt:lpstr>
      <vt:lpstr>Slide 118b</vt:lpstr>
      <vt:lpstr>Slide 123a</vt:lpstr>
      <vt:lpstr>Slide 123b</vt:lpstr>
      <vt:lpstr>Slide 123c</vt:lpstr>
      <vt:lpstr>Slide 124</vt:lpstr>
      <vt:lpstr>Slide 126 (Bear Spread)_new (2)</vt:lpstr>
      <vt:lpstr>Slide 126 (Bear Spread)_new</vt:lpstr>
      <vt:lpstr>Slide 126 (Straddle)_new (2)</vt:lpstr>
      <vt:lpstr>Slide 126 (Straddle)_new</vt:lpstr>
      <vt:lpstr>Slide 126 (Strangle)_new</vt:lpstr>
      <vt:lpstr>Slide 126 (Calendar Spread)_new</vt:lpstr>
      <vt:lpstr>Slide 126 (Diagonal Spread)_new</vt:lpstr>
      <vt:lpstr>Slide 126 (Butterly Spread)_new</vt:lpstr>
      <vt:lpstr>Slide 142</vt:lpstr>
      <vt:lpstr>Slide 144_new</vt:lpstr>
      <vt:lpstr>Slide 145a_new</vt:lpstr>
      <vt:lpstr>Slide 145b_new</vt:lpstr>
      <vt:lpstr>Slide 145c-e_new</vt:lpstr>
      <vt:lpstr>Slide 145f_new</vt:lpstr>
      <vt:lpstr>Slide 145g_new</vt:lpstr>
      <vt:lpstr>Slide 150_new</vt:lpstr>
      <vt:lpstr>Slide 151_new</vt:lpstr>
      <vt:lpstr>Slide 154a</vt:lpstr>
      <vt:lpstr>Slide 154b</vt:lpstr>
      <vt:lpstr>Slide 155</vt:lpstr>
      <vt:lpstr>Slide 156_new</vt:lpstr>
      <vt:lpstr>Slide 159 _1_new</vt:lpstr>
      <vt:lpstr>Slide 159 _2_new</vt:lpstr>
      <vt:lpstr>Slide 159 _3_new</vt:lpstr>
      <vt:lpstr>Slide 165</vt:lpstr>
      <vt:lpstr>Slide 167</vt:lpstr>
      <vt:lpstr>Slide 168</vt:lpstr>
      <vt:lpstr>Slide 169</vt:lpstr>
      <vt:lpstr>Slide 169-Binary</vt:lpstr>
      <vt:lpstr>Slide 169-Non-linear</vt:lpstr>
      <vt:lpstr>Slide 170</vt:lpstr>
      <vt:lpstr>Slide 126 (Straddle)_new (2 (3)</vt:lpstr>
      <vt:lpstr>Question 2ac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Clément Bourgin</cp:lastModifiedBy>
  <dcterms:created xsi:type="dcterms:W3CDTF">1996-10-14T23:33:28Z</dcterms:created>
  <dcterms:modified xsi:type="dcterms:W3CDTF">2026-04-15T10:25:48Z</dcterms:modified>
</cp:coreProperties>
</file>