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defaultThemeVersion="124226"/>
  <xr:revisionPtr revIDLastSave="0" documentId="13_ncr:1_{E8B81359-FDB9-4916-8047-BECAFFFE6329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REPORT" sheetId="3" r:id="rId1"/>
    <sheet name="Calculations" sheetId="2" r:id="rId2"/>
    <sheet name="OPEVS results" sheetId="1" r:id="rId3"/>
    <sheet name="OPEVS runs" sheetId="4" r:id="rId4"/>
    <sheet name="NPPBC check" sheetId="5" r:id="rId5"/>
    <sheet name="Gain-loss check" sheetId="6" r:id="rId6"/>
    <sheet name="Prepaid Benefit Cost check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2" i="2" l="1"/>
  <c r="A40" i="3"/>
  <c r="A1091" i="3"/>
  <c r="A577" i="3"/>
  <c r="A244" i="3"/>
  <c r="A192" i="3"/>
  <c r="A50" i="3" l="1"/>
  <c r="A879" i="3" l="1"/>
  <c r="A878" i="3"/>
  <c r="A873" i="3"/>
  <c r="A872" i="3"/>
  <c r="A871" i="3"/>
  <c r="E45" i="2" l="1"/>
  <c r="E43" i="2"/>
  <c r="E46" i="2" s="1"/>
  <c r="B12" i="7" l="1"/>
  <c r="B8" i="7"/>
  <c r="K12" i="6"/>
  <c r="E4" i="5"/>
  <c r="E35" i="6"/>
  <c r="K14" i="6"/>
  <c r="H36" i="6"/>
  <c r="H25" i="6"/>
  <c r="H16" i="6"/>
  <c r="B29" i="6"/>
  <c r="B25" i="6"/>
  <c r="I13" i="5" l="1"/>
  <c r="I9" i="5"/>
  <c r="I17" i="5" s="1"/>
  <c r="E16" i="5"/>
  <c r="E14" i="5"/>
  <c r="B13" i="5"/>
  <c r="B5" i="5"/>
  <c r="B22" i="5"/>
  <c r="B6" i="5" l="1"/>
  <c r="B7" i="5" s="1"/>
  <c r="A162" i="3"/>
  <c r="A161" i="3"/>
  <c r="B24" i="2"/>
  <c r="B11" i="5" s="1"/>
  <c r="I3" i="1"/>
  <c r="I4" i="1" s="1"/>
  <c r="I5" i="1" s="1"/>
  <c r="I6" i="1" s="1"/>
  <c r="I7" i="1" s="1"/>
  <c r="I8" i="1" s="1"/>
  <c r="I9" i="1" s="1"/>
  <c r="I10" i="1" s="1"/>
  <c r="I11" i="1" s="1"/>
  <c r="I12" i="1" s="1"/>
  <c r="I18" i="1"/>
  <c r="B18" i="5" l="1"/>
  <c r="B20" i="5"/>
  <c r="L2" i="4"/>
  <c r="B21" i="5" l="1"/>
  <c r="B23" i="5" s="1"/>
  <c r="L28" i="4"/>
  <c r="L6" i="4"/>
  <c r="L5" i="4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E28" i="4"/>
  <c r="E115" i="4"/>
  <c r="E72" i="4"/>
  <c r="E89" i="4"/>
  <c r="E46" i="4"/>
  <c r="E9" i="5" l="1"/>
  <c r="I19" i="5"/>
  <c r="I22" i="5" s="1"/>
  <c r="E10" i="5" s="1"/>
  <c r="E17" i="5" s="1"/>
  <c r="L23" i="4"/>
  <c r="L9" i="4"/>
  <c r="B34" i="1" s="1"/>
  <c r="L18" i="4"/>
  <c r="L24" i="4"/>
  <c r="L33" i="4"/>
  <c r="L30" i="4"/>
  <c r="L38" i="4"/>
  <c r="L31" i="4"/>
  <c r="L35" i="4"/>
  <c r="L39" i="4"/>
  <c r="L11" i="4"/>
  <c r="B36" i="1" s="1"/>
  <c r="L20" i="4"/>
  <c r="L37" i="4"/>
  <c r="L34" i="4"/>
  <c r="L25" i="4"/>
  <c r="L10" i="4"/>
  <c r="B35" i="1" s="1"/>
  <c r="L36" i="4"/>
  <c r="K21" i="4"/>
  <c r="J12" i="4"/>
  <c r="J15" i="4"/>
  <c r="J16" i="4" s="1"/>
  <c r="K12" i="4"/>
  <c r="K26" i="4"/>
  <c r="L19" i="4"/>
  <c r="L32" i="4"/>
  <c r="L14" i="4"/>
  <c r="J21" i="4"/>
  <c r="K15" i="4"/>
  <c r="K16" i="4" s="1"/>
  <c r="L8" i="4"/>
  <c r="J26" i="4"/>
  <c r="A881" i="3"/>
  <c r="A880" i="3"/>
  <c r="A870" i="3"/>
  <c r="A885" i="3"/>
  <c r="A884" i="3"/>
  <c r="A883" i="3"/>
  <c r="A882" i="3"/>
  <c r="A869" i="3"/>
  <c r="A868" i="3"/>
  <c r="A1083" i="3"/>
  <c r="A1023" i="3"/>
  <c r="A964" i="3"/>
  <c r="A908" i="3"/>
  <c r="A874" i="3"/>
  <c r="A867" i="3"/>
  <c r="A843" i="3"/>
  <c r="A789" i="3"/>
  <c r="A733" i="3"/>
  <c r="A677" i="3"/>
  <c r="A624" i="3"/>
  <c r="A569" i="3"/>
  <c r="A513" i="3"/>
  <c r="A457" i="3"/>
  <c r="A401" i="3"/>
  <c r="A289" i="3"/>
  <c r="A233" i="3"/>
  <c r="A183" i="3"/>
  <c r="A112" i="3"/>
  <c r="A865" i="3"/>
  <c r="L26" i="4" l="1"/>
  <c r="E11" i="5"/>
  <c r="L21" i="4"/>
  <c r="L12" i="4"/>
  <c r="B33" i="1"/>
  <c r="L15" i="4"/>
  <c r="L16" i="4" s="1"/>
  <c r="A1095" i="3"/>
  <c r="A854" i="3"/>
  <c r="A47" i="3"/>
  <c r="A20" i="3"/>
  <c r="C165" i="3"/>
  <c r="A169" i="3"/>
  <c r="A159" i="3"/>
  <c r="A157" i="3"/>
  <c r="A1081" i="3" l="1"/>
  <c r="A111" i="3"/>
  <c r="D15" i="4"/>
  <c r="C12" i="4"/>
  <c r="E6" i="4"/>
  <c r="D102" i="4"/>
  <c r="E95" i="4"/>
  <c r="F19" i="1" s="1"/>
  <c r="E93" i="4"/>
  <c r="E92" i="4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E68" i="4"/>
  <c r="E50" i="4"/>
  <c r="E49" i="4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E5" i="4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E125" i="4" l="1"/>
  <c r="D108" i="4"/>
  <c r="E120" i="4"/>
  <c r="E123" i="4"/>
  <c r="E98" i="4"/>
  <c r="F22" i="1" s="1"/>
  <c r="E122" i="4"/>
  <c r="E107" i="4"/>
  <c r="D99" i="4"/>
  <c r="E106" i="4"/>
  <c r="E119" i="4"/>
  <c r="E96" i="4"/>
  <c r="F20" i="1" s="1"/>
  <c r="E111" i="4"/>
  <c r="E55" i="4"/>
  <c r="D22" i="1" s="1"/>
  <c r="C59" i="4"/>
  <c r="C60" i="4" s="1"/>
  <c r="E121" i="4"/>
  <c r="E126" i="4"/>
  <c r="E101" i="4"/>
  <c r="G24" i="1" s="1"/>
  <c r="E54" i="4"/>
  <c r="D21" i="1" s="1"/>
  <c r="D59" i="4"/>
  <c r="D60" i="4" s="1"/>
  <c r="C102" i="4"/>
  <c r="C103" i="4" s="1"/>
  <c r="E124" i="4"/>
  <c r="D113" i="4"/>
  <c r="C108" i="4"/>
  <c r="E81" i="4"/>
  <c r="E112" i="4"/>
  <c r="E117" i="4"/>
  <c r="E53" i="4"/>
  <c r="D20" i="1" s="1"/>
  <c r="E63" i="4"/>
  <c r="E97" i="4"/>
  <c r="F21" i="1" s="1"/>
  <c r="C113" i="4"/>
  <c r="E118" i="4"/>
  <c r="D12" i="4"/>
  <c r="E34" i="4"/>
  <c r="J22" i="1" s="1"/>
  <c r="E11" i="4"/>
  <c r="B22" i="1" s="1"/>
  <c r="D21" i="4"/>
  <c r="E37" i="4"/>
  <c r="J25" i="1" s="1"/>
  <c r="E19" i="4"/>
  <c r="D26" i="4"/>
  <c r="E62" i="4"/>
  <c r="E75" i="4"/>
  <c r="E83" i="4"/>
  <c r="E31" i="4"/>
  <c r="J19" i="1" s="1"/>
  <c r="E20" i="4"/>
  <c r="E33" i="4"/>
  <c r="J21" i="1" s="1"/>
  <c r="E35" i="4"/>
  <c r="J23" i="1" s="1"/>
  <c r="D56" i="4"/>
  <c r="D65" i="4"/>
  <c r="E39" i="4"/>
  <c r="J27" i="1" s="1"/>
  <c r="D70" i="4"/>
  <c r="E9" i="4"/>
  <c r="B20" i="1" s="1"/>
  <c r="E64" i="4"/>
  <c r="E77" i="4"/>
  <c r="E24" i="4"/>
  <c r="E25" i="4"/>
  <c r="E36" i="4"/>
  <c r="J24" i="1" s="1"/>
  <c r="E10" i="4"/>
  <c r="B21" i="1" s="1"/>
  <c r="D16" i="4"/>
  <c r="E30" i="4"/>
  <c r="J18" i="1" s="1"/>
  <c r="E38" i="4"/>
  <c r="J26" i="1" s="1"/>
  <c r="E78" i="4"/>
  <c r="E76" i="4"/>
  <c r="E74" i="4"/>
  <c r="E82" i="4"/>
  <c r="E69" i="4"/>
  <c r="E80" i="4"/>
  <c r="C15" i="4"/>
  <c r="E15" i="4" s="1"/>
  <c r="E32" i="4"/>
  <c r="J20" i="1" s="1"/>
  <c r="E79" i="4"/>
  <c r="C21" i="4"/>
  <c r="C26" i="4"/>
  <c r="C70" i="4"/>
  <c r="E58" i="4"/>
  <c r="E24" i="1" s="1"/>
  <c r="C56" i="4"/>
  <c r="D103" i="4"/>
  <c r="C99" i="4"/>
  <c r="E105" i="4"/>
  <c r="E110" i="4"/>
  <c r="E67" i="4"/>
  <c r="C65" i="4"/>
  <c r="E52" i="4"/>
  <c r="D19" i="1" s="1"/>
  <c r="E8" i="4"/>
  <c r="B19" i="1" s="1"/>
  <c r="E18" i="4"/>
  <c r="E14" i="4"/>
  <c r="C24" i="1" s="1"/>
  <c r="E23" i="4"/>
  <c r="F24" i="1" l="1"/>
  <c r="G26" i="1" s="1"/>
  <c r="E113" i="4"/>
  <c r="E108" i="4"/>
  <c r="E99" i="4"/>
  <c r="E59" i="4"/>
  <c r="E60" i="4" s="1"/>
  <c r="E65" i="4"/>
  <c r="E56" i="4"/>
  <c r="E102" i="4"/>
  <c r="E103" i="4" s="1"/>
  <c r="C16" i="4"/>
  <c r="E21" i="4"/>
  <c r="E70" i="4"/>
  <c r="E26" i="4"/>
  <c r="E12" i="4"/>
  <c r="E16" i="4"/>
  <c r="B9" i="1"/>
  <c r="D9" i="1"/>
  <c r="C11" i="1" l="1"/>
  <c r="C982" i="3"/>
  <c r="C580" i="3"/>
  <c r="B580" i="3"/>
  <c r="C419" i="3"/>
  <c r="C301" i="3"/>
  <c r="C246" i="3"/>
  <c r="C13" i="1" l="1"/>
  <c r="E6" i="5"/>
  <c r="E30" i="2"/>
  <c r="B34" i="2" l="1"/>
  <c r="C653" i="3"/>
  <c r="C650" i="3"/>
  <c r="C438" i="3"/>
  <c r="C1001" i="3" s="1"/>
  <c r="C131" i="3"/>
  <c r="C258" i="3" s="1"/>
  <c r="C995" i="3"/>
  <c r="C999" i="3"/>
  <c r="C1000" i="3"/>
  <c r="C1002" i="3" s="1"/>
  <c r="C1004" i="3"/>
  <c r="C645" i="3"/>
  <c r="C137" i="3" s="1"/>
  <c r="A29" i="2"/>
  <c r="C634" i="3"/>
  <c r="C592" i="3"/>
  <c r="B592" i="3"/>
  <c r="C537" i="3"/>
  <c r="C531" i="3"/>
  <c r="C436" i="3"/>
  <c r="C539" i="3" s="1"/>
  <c r="A22" i="2"/>
  <c r="A23" i="2"/>
  <c r="A24" i="2"/>
  <c r="C430" i="3"/>
  <c r="C437" i="3" s="1"/>
  <c r="C439" i="3" s="1"/>
  <c r="C144" i="3"/>
  <c r="C141" i="3" s="1"/>
  <c r="A163" i="3"/>
  <c r="C162" i="3"/>
  <c r="C321" i="3"/>
  <c r="C313" i="3" s="1"/>
  <c r="J29" i="1"/>
  <c r="B372" i="3" s="1"/>
  <c r="B370" i="3"/>
  <c r="B368" i="3"/>
  <c r="B366" i="3"/>
  <c r="B364" i="3"/>
  <c r="B362" i="3"/>
  <c r="A362" i="3"/>
  <c r="A364" i="3" s="1"/>
  <c r="A366" i="3" s="1"/>
  <c r="A368" i="3" s="1"/>
  <c r="A370" i="3" s="1"/>
  <c r="A372" i="3" s="1"/>
  <c r="E7" i="2"/>
  <c r="E10" i="2"/>
  <c r="C429" i="3"/>
  <c r="C424" i="3"/>
  <c r="C432" i="3"/>
  <c r="C441" i="3"/>
  <c r="C533" i="3"/>
  <c r="C535" i="3" s="1"/>
  <c r="B589" i="3"/>
  <c r="B588" i="3"/>
  <c r="B587" i="3"/>
  <c r="B586" i="3"/>
  <c r="C694" i="3"/>
  <c r="C987" i="3"/>
  <c r="E11" i="1"/>
  <c r="C698" i="3"/>
  <c r="C134" i="3"/>
  <c r="C159" i="3" s="1"/>
  <c r="A134" i="3"/>
  <c r="C254" i="3"/>
  <c r="C589" i="3" s="1"/>
  <c r="C252" i="3"/>
  <c r="C587" i="3" s="1"/>
  <c r="C251" i="3"/>
  <c r="C586" i="3" s="1"/>
  <c r="B24" i="1"/>
  <c r="C26" i="1" s="1"/>
  <c r="C28" i="1" s="1"/>
  <c r="A17" i="1"/>
  <c r="A2" i="1"/>
  <c r="I19" i="1"/>
  <c r="I20" i="1" s="1"/>
  <c r="I21" i="1" s="1"/>
  <c r="I22" i="1" s="1"/>
  <c r="I23" i="1" s="1"/>
  <c r="E10" i="1"/>
  <c r="B7" i="2"/>
  <c r="B8" i="2"/>
  <c r="A16" i="1" s="1"/>
  <c r="B6" i="2"/>
  <c r="A1" i="1" s="1"/>
  <c r="A1013" i="3"/>
  <c r="A980" i="3"/>
  <c r="A979" i="3"/>
  <c r="A975" i="3"/>
  <c r="A974" i="3"/>
  <c r="A969" i="3"/>
  <c r="A749" i="3"/>
  <c r="A746" i="3"/>
  <c r="A743" i="3"/>
  <c r="A715" i="3"/>
  <c r="A712" i="3"/>
  <c r="A709" i="3"/>
  <c r="A703" i="3"/>
  <c r="A700" i="3"/>
  <c r="A698" i="3"/>
  <c r="A696" i="3"/>
  <c r="A694" i="3"/>
  <c r="A656" i="3"/>
  <c r="A645" i="3"/>
  <c r="A641" i="3"/>
  <c r="A632" i="3"/>
  <c r="A578" i="3"/>
  <c r="A542" i="3"/>
  <c r="A539" i="3"/>
  <c r="A537" i="3"/>
  <c r="A535" i="3"/>
  <c r="A533" i="3"/>
  <c r="A531" i="3"/>
  <c r="A527" i="3"/>
  <c r="A497" i="3"/>
  <c r="A481" i="3"/>
  <c r="A450" i="3"/>
  <c r="A414" i="3"/>
  <c r="A406" i="3"/>
  <c r="A519" i="3" s="1"/>
  <c r="A299" i="3"/>
  <c r="A154" i="3"/>
  <c r="A149" i="3"/>
  <c r="A147" i="3"/>
  <c r="A144" i="3"/>
  <c r="A141" i="3"/>
  <c r="A138" i="3"/>
  <c r="A137" i="3"/>
  <c r="A135" i="3"/>
  <c r="A131" i="3"/>
  <c r="A130" i="3"/>
  <c r="A127" i="3"/>
  <c r="A96" i="3"/>
  <c r="A72" i="3"/>
  <c r="A1082" i="3"/>
  <c r="A520" i="3"/>
  <c r="A518" i="3"/>
  <c r="A464" i="3"/>
  <c r="A462" i="3"/>
  <c r="A453" i="3"/>
  <c r="A182" i="3"/>
  <c r="A232" i="3" s="1"/>
  <c r="A288" i="3" s="1"/>
  <c r="A340" i="3" s="1"/>
  <c r="A400" i="3" s="1"/>
  <c r="A456" i="3" s="1"/>
  <c r="A512" i="3" s="1"/>
  <c r="A568" i="3" s="1"/>
  <c r="A623" i="3" s="1"/>
  <c r="A676" i="3" s="1"/>
  <c r="A732" i="3" s="1"/>
  <c r="A788" i="3" s="1"/>
  <c r="A842" i="3" s="1"/>
  <c r="A907" i="3" s="1"/>
  <c r="A963" i="3" s="1"/>
  <c r="A1022" i="3" s="1"/>
  <c r="E12" i="1" l="1"/>
  <c r="E13" i="1"/>
  <c r="E27" i="2"/>
  <c r="B10" i="5" s="1"/>
  <c r="B12" i="5" s="1"/>
  <c r="B14" i="5" s="1"/>
  <c r="E49" i="2"/>
  <c r="K8" i="6"/>
  <c r="H8" i="6"/>
  <c r="B35" i="2"/>
  <c r="C993" i="3"/>
  <c r="D24" i="1"/>
  <c r="E26" i="1" s="1"/>
  <c r="B37" i="1"/>
  <c r="B39" i="1" s="1"/>
  <c r="C163" i="3" s="1"/>
  <c r="C988" i="3"/>
  <c r="C989" i="3" s="1"/>
  <c r="C1003" i="3"/>
  <c r="C1005" i="3" s="1"/>
  <c r="E28" i="2"/>
  <c r="E18" i="2"/>
  <c r="C130" i="3"/>
  <c r="B590" i="3"/>
  <c r="B594" i="3" s="1"/>
  <c r="B596" i="3" s="1"/>
  <c r="A32" i="1"/>
  <c r="E13" i="2"/>
  <c r="C992" i="3"/>
  <c r="C253" i="3"/>
  <c r="C588" i="3" s="1"/>
  <c r="C590" i="3" s="1"/>
  <c r="C594" i="3" s="1"/>
  <c r="C135" i="3" s="1"/>
  <c r="C425" i="3"/>
  <c r="C426" i="3" s="1"/>
  <c r="C305" i="3" s="1"/>
  <c r="E25" i="1"/>
  <c r="B374" i="3"/>
  <c r="I24" i="1"/>
  <c r="I25" i="1" s="1"/>
  <c r="I26" i="1" s="1"/>
  <c r="I27" i="1" s="1"/>
  <c r="I29" i="1" s="1"/>
  <c r="C440" i="3"/>
  <c r="C442" i="3" s="1"/>
  <c r="A463" i="3"/>
  <c r="B31" i="5" l="1"/>
  <c r="E14" i="2"/>
  <c r="B27" i="5"/>
  <c r="E15" i="5" s="1"/>
  <c r="E18" i="5" s="1"/>
  <c r="E21" i="5" s="1"/>
  <c r="H29" i="6"/>
  <c r="H31" i="6" s="1"/>
  <c r="E27" i="1"/>
  <c r="E28" i="1"/>
  <c r="K10" i="6"/>
  <c r="K16" i="6" s="1"/>
  <c r="K20" i="6"/>
  <c r="E21" i="6" s="1"/>
  <c r="E35" i="2"/>
  <c r="E7" i="7"/>
  <c r="E11" i="7" s="1"/>
  <c r="E18" i="6"/>
  <c r="B8" i="6"/>
  <c r="C150" i="3"/>
  <c r="C994" i="3"/>
  <c r="C996" i="3" s="1"/>
  <c r="C712" i="3"/>
  <c r="C700" i="3"/>
  <c r="C255" i="3"/>
  <c r="E15" i="2"/>
  <c r="C446" i="3"/>
  <c r="C696" i="3"/>
  <c r="C472" i="3"/>
  <c r="D10" i="1"/>
  <c r="C596" i="3"/>
  <c r="D25" i="1"/>
  <c r="C431" i="3"/>
  <c r="C433" i="3" s="1"/>
  <c r="C308" i="3" s="1"/>
  <c r="C636" i="3" l="1"/>
  <c r="C638" i="3" s="1"/>
  <c r="E15" i="7"/>
  <c r="B14" i="6"/>
  <c r="E23" i="6"/>
  <c r="E17" i="2"/>
  <c r="E19" i="2" s="1"/>
  <c r="E21" i="2" s="1"/>
  <c r="C448" i="3" s="1"/>
  <c r="H14" i="6"/>
  <c r="H18" i="6" s="1"/>
  <c r="B27" i="6"/>
  <c r="B32" i="6" s="1"/>
  <c r="B16" i="6" s="1"/>
  <c r="B18" i="6" s="1"/>
  <c r="B10" i="7"/>
  <c r="B15" i="7" s="1"/>
  <c r="B2" i="5"/>
  <c r="C261" i="3"/>
  <c r="E29" i="1"/>
  <c r="C708" i="3"/>
  <c r="C715" i="3" s="1"/>
  <c r="C319" i="3"/>
  <c r="C1009" i="3"/>
  <c r="C486" i="3"/>
  <c r="E29" i="2"/>
  <c r="C652" i="3"/>
  <c r="E14" i="1"/>
  <c r="C542" i="3"/>
  <c r="E17" i="7" l="1"/>
  <c r="E20" i="7" s="1"/>
  <c r="B2" i="7" s="1"/>
  <c r="E8" i="6"/>
  <c r="H27" i="6"/>
  <c r="H34" i="6" s="1"/>
  <c r="H38" i="6" s="1"/>
  <c r="E10" i="6" s="1"/>
  <c r="C148" i="3"/>
  <c r="C318" i="3"/>
  <c r="C1007" i="3"/>
  <c r="C474" i="3"/>
  <c r="E31" i="2" s="1"/>
  <c r="E34" i="2" s="1"/>
  <c r="E12" i="6" l="1"/>
  <c r="E42" i="6" s="1"/>
  <c r="B2" i="6" s="1"/>
  <c r="C649" i="3"/>
  <c r="E36" i="2"/>
  <c r="E40" i="2" s="1"/>
  <c r="E48" i="2" s="1"/>
  <c r="E50" i="2" s="1"/>
  <c r="E52" i="2" s="1"/>
  <c r="C1011" i="3" s="1"/>
  <c r="C1014" i="3" s="1"/>
  <c r="C161" i="3"/>
  <c r="C166" i="3" s="1"/>
  <c r="C167" i="3" s="1"/>
  <c r="C169" i="3" s="1"/>
  <c r="C488" i="3"/>
  <c r="C703" i="3"/>
  <c r="C312" i="3" l="1"/>
  <c r="B491" i="3"/>
  <c r="C479" i="3"/>
  <c r="C495" i="3" s="1"/>
  <c r="C320" i="3"/>
  <c r="C322" i="3" s="1"/>
  <c r="C651" i="3"/>
  <c r="C451" i="3"/>
  <c r="C476" i="3"/>
  <c r="C544" i="3"/>
  <c r="C546" i="3" s="1"/>
  <c r="B492" i="3" s="1"/>
  <c r="C481" i="3" l="1"/>
  <c r="C314" i="3"/>
  <c r="C492" i="3" l="1"/>
  <c r="C497" i="3" s="1"/>
  <c r="C326" i="3" l="1"/>
  <c r="C127" i="3" s="1"/>
  <c r="C154" i="3" l="1"/>
  <c r="C641" i="3" l="1"/>
  <c r="C654" i="3" l="1"/>
  <c r="C656" i="3" s="1"/>
  <c r="C13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7" authorId="0" shapeId="0" xr:uid="{00000000-0006-0000-0200-000001000000}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Actual premiums changed APBO from 34859884 to 31440545</t>
        </r>
      </text>
    </comment>
  </commentList>
</comments>
</file>

<file path=xl/sharedStrings.xml><?xml version="1.0" encoding="utf-8"?>
<sst xmlns="http://schemas.openxmlformats.org/spreadsheetml/2006/main" count="896" uniqueCount="613">
  <si>
    <t>ASC 715 Actuarial Report</t>
  </si>
  <si>
    <t xml:space="preserve">For Fiscal Year Ending </t>
  </si>
  <si>
    <t>FOR FINANCIAL STATEMENTS</t>
  </si>
  <si>
    <t xml:space="preserve">                                Actuarial report to </t>
  </si>
  <si>
    <t xml:space="preserve">                        determine disclosure information for</t>
  </si>
  <si>
    <t xml:space="preserve">                         in accordance with ASC 715</t>
  </si>
  <si>
    <t>ACTUARIAL REPORT FOR FISCAL YEAR ENDING</t>
  </si>
  <si>
    <t xml:space="preserve">                               TABLE OF CONTENTS</t>
  </si>
  <si>
    <t xml:space="preserve">                               -----------------</t>
  </si>
  <si>
    <t xml:space="preserve">                   LETTER OF CERTIFICATION</t>
  </si>
  <si>
    <t xml:space="preserve">  Pages</t>
  </si>
  <si>
    <t xml:space="preserve">  ---------</t>
  </si>
  <si>
    <t xml:space="preserve">   SECTION   I  -  SUMMARY</t>
  </si>
  <si>
    <t xml:space="preserve">      1</t>
  </si>
  <si>
    <t xml:space="preserve">   SECTION  II  -  SUPPLEMENTARY INFORMATION FOR FOOTNOTE</t>
  </si>
  <si>
    <t xml:space="preserve">                   TO FINANCIAL STATEMENTS </t>
  </si>
  <si>
    <t xml:space="preserve">    2-5</t>
  </si>
  <si>
    <t xml:space="preserve">   SECTION III  -  DEVELOPMENT OF NET PERIODIC </t>
  </si>
  <si>
    <t xml:space="preserve">                         POSTRETIREMENT BENEFIT COST</t>
  </si>
  <si>
    <t xml:space="preserve">    6-8</t>
  </si>
  <si>
    <t xml:space="preserve">   SECTION  IV  -  DEVELOPMENT OF FUNDED STATUS</t>
  </si>
  <si>
    <t>9</t>
  </si>
  <si>
    <t xml:space="preserve">   SECTION  V    -  AMOUNTS RECOGNIZED IN UNRESTRICTED NET ASSETS</t>
  </si>
  <si>
    <t>10</t>
  </si>
  <si>
    <t xml:space="preserve">   SECTION   VI  -  DEVELOPMENT OF EFFECT OF 1% INCREASE IN HEALTH </t>
  </si>
  <si>
    <t xml:space="preserve">                           CARE TREND RATE</t>
  </si>
  <si>
    <t xml:space="preserve">     11</t>
  </si>
  <si>
    <t xml:space="preserve">                           AND FUNDING METHOD</t>
  </si>
  <si>
    <t xml:space="preserve">                          POSTRETIREMENT BENEFIT COST FOR THE FISCAL YEAR</t>
  </si>
  <si>
    <t xml:space="preserve">     17</t>
  </si>
  <si>
    <t xml:space="preserve">     18</t>
  </si>
  <si>
    <t xml:space="preserve">                                   SECTION I</t>
  </si>
  <si>
    <t xml:space="preserve">                                    SUMMARY</t>
  </si>
  <si>
    <t xml:space="preserve">                                    -------</t>
  </si>
  <si>
    <t>ACTUARIAL VALUATION HIGHLIGHTS, in thousands:</t>
  </si>
  <si>
    <t xml:space="preserve"> </t>
  </si>
  <si>
    <t xml:space="preserve">     (000's)</t>
  </si>
  <si>
    <t xml:space="preserve">  1. Recommended net periodic postretirement benefit cost for the </t>
  </si>
  <si>
    <t xml:space="preserve">      of 1% increase in health care trend rate</t>
  </si>
  <si>
    <t xml:space="preserve"> 12. Recommended net postretirement benefit cost for the fiscal year </t>
  </si>
  <si>
    <t xml:space="preserve">         Plan changes</t>
  </si>
  <si>
    <t xml:space="preserve">         Medical premium rates</t>
  </si>
  <si>
    <t xml:space="preserve">         Other</t>
  </si>
  <si>
    <t xml:space="preserve">         Total changes</t>
  </si>
  <si>
    <t xml:space="preserve">                                     - 1 -</t>
  </si>
  <si>
    <t xml:space="preserve">            ACTUARIAL REPORT FOR FISCAL YEAR ENDING</t>
  </si>
  <si>
    <t xml:space="preserve">                                   SECTION II</t>
  </si>
  <si>
    <t xml:space="preserve">          SUPPLEMENTARY INFORMATION FOR FOOTNOTE TO FINANCIAL STATEMENTS</t>
  </si>
  <si>
    <t xml:space="preserve">                      -----------------------------------</t>
  </si>
  <si>
    <t xml:space="preserve">This section contains supplementary information for preparing the footnote </t>
  </si>
  <si>
    <t>Accounting Standards Codification (ASC) 715, Compensation - Retirement Benefits.</t>
  </si>
  <si>
    <t>Postretirement Benefit Plan</t>
  </si>
  <si>
    <t>choose between several health benefit plan options provided by Kaiser Permanente</t>
  </si>
  <si>
    <t xml:space="preserve">and United Health.  All the plan options are HMO plans except, transitionally, some </t>
  </si>
  <si>
    <t xml:space="preserve">for retirees and their dependants according to the plan vesting schedule.  In   </t>
  </si>
  <si>
    <t>Medicare Part B premium payments.  Effective January 1, 2008, employees may pay a portion</t>
  </si>
  <si>
    <t>of the cost of dependent coverage depending on their service as of January 1, 2008.</t>
  </si>
  <si>
    <t xml:space="preserve">The effect of Medicare Part D federal subsidies has been accounted for through adjusted </t>
  </si>
  <si>
    <t>premium rates by Kaiser and United Health.</t>
  </si>
  <si>
    <t>Effective January 1, 2013, the following new plan provisions are in effect:</t>
  </si>
  <si>
    <t xml:space="preserve">   1. Employees hired after September 1, 2012 are no longer eligible for benefits.</t>
  </si>
  <si>
    <t xml:space="preserve">        toward the eligibility requirements described above after 12/31/12.  So, any such</t>
  </si>
  <si>
    <t xml:space="preserve">        employees with less than 10 years of service will never be eligible for benefits.</t>
  </si>
  <si>
    <t xml:space="preserve">   3. When Local 1000 adopts a post-retirement medical plan, no Local 1000 employees</t>
  </si>
  <si>
    <t xml:space="preserve">        will be eligible to receive any benefits from this plan.</t>
  </si>
  <si>
    <t xml:space="preserve">   4. An employee who retired prior to 2013 will be paid the percentage described above of</t>
  </si>
  <si>
    <t xml:space="preserve">        the Kaiser Basic or Optional medical premium for the plan chosen by the retiree.</t>
  </si>
  <si>
    <t xml:space="preserve">   5. An employee who retires after 2012 will be paid the percentage described above of</t>
  </si>
  <si>
    <t xml:space="preserve">        the following medical premium amounts:</t>
  </si>
  <si>
    <t xml:space="preserve">           prior to age 65:  100% of Kaiser Basic or 80% of Kaiser Optional</t>
  </si>
  <si>
    <t xml:space="preserve">           after age 65:  80% of Kaiser Senior Advantage</t>
  </si>
  <si>
    <t xml:space="preserve">                                     - 2 -</t>
  </si>
  <si>
    <t xml:space="preserve">                         -----------------------------------</t>
  </si>
  <si>
    <t xml:space="preserve">                                  (continued)</t>
  </si>
  <si>
    <t>The following table sets forth the plan's funded status which is the amount recognized</t>
  </si>
  <si>
    <t>thousands:</t>
  </si>
  <si>
    <t xml:space="preserve">   ---------</t>
  </si>
  <si>
    <t xml:space="preserve">1. Actuarial present value of accumulated postretirement </t>
  </si>
  <si>
    <t xml:space="preserve">   benefit obligation:</t>
  </si>
  <si>
    <t xml:space="preserve">   (a) Retirees</t>
  </si>
  <si>
    <t xml:space="preserve">   (b) Vested former employees</t>
  </si>
  <si>
    <t xml:space="preserve">   (c) Fully Eligible Actives</t>
  </si>
  <si>
    <t xml:space="preserve">   (d) Other Actives</t>
  </si>
  <si>
    <t xml:space="preserve">   (e) Total</t>
  </si>
  <si>
    <t xml:space="preserve">2. Plan assets at fair value </t>
  </si>
  <si>
    <t>3. Funded status  (2)-(1d)</t>
  </si>
  <si>
    <t xml:space="preserve">                                     - 3 -</t>
  </si>
  <si>
    <t xml:space="preserve">                                  SECTION II</t>
  </si>
  <si>
    <t xml:space="preserve">                       -----------------------------------</t>
  </si>
  <si>
    <t xml:space="preserve">                                 (continued)</t>
  </si>
  <si>
    <t>included the following components, in thousands:</t>
  </si>
  <si>
    <t>---------</t>
  </si>
  <si>
    <t>(000's)</t>
  </si>
  <si>
    <t>1. Service cost - benefits earned during the period</t>
  </si>
  <si>
    <t>2. Interest cost on accumulated postretirement benefit obligation</t>
  </si>
  <si>
    <t>3. Return on plan assets:</t>
  </si>
  <si>
    <t xml:space="preserve">   (a) Expected return </t>
  </si>
  <si>
    <t xml:space="preserve">   (b) Asset (gain) or loss  </t>
  </si>
  <si>
    <t xml:space="preserve">   (c) Actual return  (a)-(b)</t>
  </si>
  <si>
    <t>4. Net amortization and deferral:</t>
  </si>
  <si>
    <t xml:space="preserve">   (a) Transition amount    </t>
  </si>
  <si>
    <t xml:space="preserve">   (b) Prior service cost   </t>
  </si>
  <si>
    <t xml:space="preserve">   (c) (Gain) or loss       </t>
  </si>
  <si>
    <t xml:space="preserve">   (d) Asset (gain) or loss  </t>
  </si>
  <si>
    <t xml:space="preserve">5. Net periodic postretirement benefit cost </t>
  </si>
  <si>
    <t xml:space="preserve">                                     - 4 -</t>
  </si>
  <si>
    <t xml:space="preserve">                       SUPPLEMENTARY INFORMATION FOR FOOTNOTE</t>
  </si>
  <si>
    <t xml:space="preserve">                       --------------------------------------</t>
  </si>
  <si>
    <t xml:space="preserve">Estimated annual cash flow from the postretirement medical plan for the next ten years </t>
  </si>
  <si>
    <t>(in accordance with ASC 715):</t>
  </si>
  <si>
    <t xml:space="preserve">  Fiscal Year                             </t>
  </si>
  <si>
    <t xml:space="preserve">Amount  </t>
  </si>
  <si>
    <t xml:space="preserve">  Ending 12/31                             </t>
  </si>
  <si>
    <t>(thousands)</t>
  </si>
  <si>
    <t xml:space="preserve">  ------------                             </t>
  </si>
  <si>
    <t xml:space="preserve">---------  </t>
  </si>
  <si>
    <t xml:space="preserve">Total </t>
  </si>
  <si>
    <t xml:space="preserve">                                     - 5 -</t>
  </si>
  <si>
    <t xml:space="preserve">                                  SECTION III</t>
  </si>
  <si>
    <t xml:space="preserve">                DEVELOPMENT OF NET PERIODIC POSTRETIREMENT BENEFIT COST </t>
  </si>
  <si>
    <t xml:space="preserve">                      ------------------------------------</t>
  </si>
  <si>
    <t xml:space="preserve">The net periodic postretirement benefit cost for a year may be generally determined </t>
  </si>
  <si>
    <t>based on the value of the plan assets and liabilities at the beginning of the year.</t>
  </si>
  <si>
    <t>However, because of the manner in which the components of the cost are required to be</t>
  </si>
  <si>
    <t>adjustments are made based on end of year asset information.  Subsection A of this</t>
  </si>
  <si>
    <t xml:space="preserve">beginning of year asset and liability information.  Subsection B shows the various </t>
  </si>
  <si>
    <t xml:space="preserve">components of postretirement benefit cost as they are required to be presented in the </t>
  </si>
  <si>
    <t xml:space="preserve">footnote and Subsection C describes the offsetting adjustments that have been made on </t>
  </si>
  <si>
    <t>year-end asset information.</t>
  </si>
  <si>
    <t xml:space="preserve">A. Development of Postretirement Benefit Cost Based on </t>
  </si>
  <si>
    <t xml:space="preserve">   Beginning of Year Assets and Liabilities</t>
  </si>
  <si>
    <t xml:space="preserve">   1. Service Cost</t>
  </si>
  <si>
    <t xml:space="preserve">      (a)  Amount due at Beginning of Year</t>
  </si>
  <si>
    <t xml:space="preserve">      (b)  Interest at discount rate</t>
  </si>
  <si>
    <t xml:space="preserve">      (c)  Total Service Cost (a)+(b)</t>
  </si>
  <si>
    <t xml:space="preserve">   2. Interest Cost</t>
  </si>
  <si>
    <t xml:space="preserve">      (a)  Accumulated Postretirement Benefit Obligation at beg. of yr.</t>
  </si>
  <si>
    <t xml:space="preserve">      (b)  Expected distributions, weighted for timing</t>
  </si>
  <si>
    <t xml:space="preserve">      (c)  Average expected APBO  (a)-(b)</t>
  </si>
  <si>
    <t xml:space="preserve">      (d)  Discount rate</t>
  </si>
  <si>
    <t xml:space="preserve">      (e)  Interest Cost  (c)x(d)</t>
  </si>
  <si>
    <t xml:space="preserve">   3. Expected Return on Assets</t>
  </si>
  <si>
    <t xml:space="preserve">      (a)  Fair value of assets at beginning of year</t>
  </si>
  <si>
    <t xml:space="preserve">      (c)  Expected expenses, weighted for timing</t>
  </si>
  <si>
    <t xml:space="preserve">      (d)  Expected contributions, weighted for timing</t>
  </si>
  <si>
    <t xml:space="preserve">      (e)  Average value of assets  (a)-(b)-(c)+(d)</t>
  </si>
  <si>
    <t xml:space="preserve">      (f)  Expected long-term rate of return on Plan assets</t>
  </si>
  <si>
    <t xml:space="preserve">      (g)  Expected return on assets  (e)x(f) - show as credit</t>
  </si>
  <si>
    <t xml:space="preserve">   4. Amortization of unrecognized transition net obligation (asset)</t>
  </si>
  <si>
    <t xml:space="preserve">   5. Amortization of Prior Service Cost</t>
  </si>
  <si>
    <t xml:space="preserve">   6. Amortization of (Gain) or Loss</t>
  </si>
  <si>
    <t xml:space="preserve">                                     - 6 -</t>
  </si>
  <si>
    <t xml:space="preserve">                                 SECTION III</t>
  </si>
  <si>
    <t xml:space="preserve">B. Offsetting Adjustments and Presentation of Cost </t>
  </si>
  <si>
    <t xml:space="preserve">   Components Based on Year-End Asset Information</t>
  </si>
  <si>
    <t xml:space="preserve">   Before Adjustments:</t>
  </si>
  <si>
    <t xml:space="preserve">   ------------------</t>
  </si>
  <si>
    <t xml:space="preserve">   1. Service cost [Item A(1)]</t>
  </si>
  <si>
    <t xml:space="preserve">   2. Interest cost [Item A(2e)]</t>
  </si>
  <si>
    <t xml:space="preserve">   3. Return on Plan assets - expected [Item A(3f)]</t>
  </si>
  <si>
    <t xml:space="preserve">   4. Amortization of transition asset, prior service cost</t>
  </si>
  <si>
    <t xml:space="preserve">   After Adjustments:</t>
  </si>
  <si>
    <t xml:space="preserve">   -----------------</t>
  </si>
  <si>
    <t xml:space="preserve">   1. Service cost </t>
  </si>
  <si>
    <t xml:space="preserve">   2. Interest cost</t>
  </si>
  <si>
    <t xml:space="preserve">   3. Return on Plan assets </t>
  </si>
  <si>
    <t xml:space="preserve">        Actual</t>
  </si>
  <si>
    <t xml:space="preserve">        less deferred gain (plus deferred loss)</t>
  </si>
  <si>
    <t xml:space="preserve">      and net (gain) loss </t>
  </si>
  <si>
    <t xml:space="preserve">                                     - 7 -</t>
  </si>
  <si>
    <t>C. Description of Adjustments</t>
  </si>
  <si>
    <t xml:space="preserve">   Item B(3) is presented based on year-end asset information to equal the</t>
  </si>
  <si>
    <t xml:space="preserve">   less the deferred gain (plus the deferred loss), determined as follows:</t>
  </si>
  <si>
    <t xml:space="preserve"> (000's)</t>
  </si>
  <si>
    <t xml:space="preserve">   6. Actual return on plan assets during year</t>
  </si>
  <si>
    <t xml:space="preserve">   7. Expected return on Plan assets [Item A(3f)]</t>
  </si>
  <si>
    <t xml:space="preserve">   8. Deferred asset gain (loss)  (6)-(7)</t>
  </si>
  <si>
    <t xml:space="preserve">                                     - 8 -</t>
  </si>
  <si>
    <t xml:space="preserve">                                  SECTION IV</t>
  </si>
  <si>
    <t xml:space="preserve">                          DEVELOPMENT OF FUNDED STATUS</t>
  </si>
  <si>
    <t xml:space="preserve">                     ------------------------------------</t>
  </si>
  <si>
    <t>Accounting Standards Codification 715 (ASC 715) requires disclosure of the</t>
  </si>
  <si>
    <t>2. Plan assets at fair market value</t>
  </si>
  <si>
    <t>3. Funded status  (1)+(2)</t>
  </si>
  <si>
    <t>4. Liability for postretirement benefits [Item (3)]</t>
  </si>
  <si>
    <t xml:space="preserve">                                     - 9 -</t>
  </si>
  <si>
    <t xml:space="preserve">                                   SECTION V</t>
  </si>
  <si>
    <t xml:space="preserve">                  AMOUNTS RECOGNIZED IN UNRESTRICTED NET ASSETS</t>
  </si>
  <si>
    <t xml:space="preserve">              ---------------------------------------------------</t>
  </si>
  <si>
    <t xml:space="preserve">  </t>
  </si>
  <si>
    <t xml:space="preserve">   1. Net transition obligation (asset)</t>
  </si>
  <si>
    <t xml:space="preserve">   2. Prior service cost (credit)</t>
  </si>
  <si>
    <t xml:space="preserve">   3. Net loss (gain)</t>
  </si>
  <si>
    <t xml:space="preserve">   4. Total amounts recognized in unrestricted net assets </t>
  </si>
  <si>
    <t>B. Change in unrestricted net assets during year</t>
  </si>
  <si>
    <t xml:space="preserve">   2. Change in unrestricted net assets due to:</t>
  </si>
  <si>
    <t xml:space="preserve">      (a) New loss (gain) during year</t>
  </si>
  <si>
    <t xml:space="preserve">      (b) New prior service cost during year</t>
  </si>
  <si>
    <t xml:space="preserve">      (c) Amortization of loss (gain) during year</t>
  </si>
  <si>
    <t xml:space="preserve">      (d) Amortization of prior service cost during year</t>
  </si>
  <si>
    <t xml:space="preserve">      (e) Amortization of transition obligation during year</t>
  </si>
  <si>
    <t xml:space="preserve">      (f) Total change during year</t>
  </si>
  <si>
    <t xml:space="preserve">                                             - 10 -</t>
  </si>
  <si>
    <t xml:space="preserve">                                   SECTION VI</t>
  </si>
  <si>
    <t xml:space="preserve">                       DEVELOPMENT OF EFFECT OF 1% INCREASE IN</t>
  </si>
  <si>
    <t xml:space="preserve">                              HEALTH CARE TREND RATE</t>
  </si>
  <si>
    <t xml:space="preserve">                  ---------------------------------------------------</t>
  </si>
  <si>
    <t>effect of a one-percentage-point increase in the assumed health care cost</t>
  </si>
  <si>
    <t xml:space="preserve">trend rate (HCCTR) on (1) the aggregate of the service and interest cost components </t>
  </si>
  <si>
    <t>of net periodic postretirement benefit cost and (2) the accumulated postretirement</t>
  </si>
  <si>
    <t xml:space="preserve">benefit obligation. </t>
  </si>
  <si>
    <t>A. Effect of 1% increase in health care trend rate on service cost and interest</t>
  </si>
  <si>
    <t xml:space="preserve">   cost components of net periodic postretirement benefit cost</t>
  </si>
  <si>
    <t xml:space="preserve">   5. Aggregate effect of 1% increase in HCCTR on service cost and </t>
  </si>
  <si>
    <t xml:space="preserve">A. Effect of 1% increase in health care trend rate on accumulated </t>
  </si>
  <si>
    <t xml:space="preserve">   postretirement benefit obligation</t>
  </si>
  <si>
    <t xml:space="preserve">   1. Actual Accumulated postretirement benefit obligation</t>
  </si>
  <si>
    <t xml:space="preserve">   2. Accumulated postretirement benefit obligation</t>
  </si>
  <si>
    <t xml:space="preserve">   3. Effect of 1% increase in HCCTR on accumulated postretirement </t>
  </si>
  <si>
    <t xml:space="preserve">                                     - 11 -</t>
  </si>
  <si>
    <t xml:space="preserve">                                     - 12 -</t>
  </si>
  <si>
    <t xml:space="preserve">                SUMMARY OF THE ACTUARIAL ASSUMPTIONS AND FUNDING METHOD</t>
  </si>
  <si>
    <t xml:space="preserve">                -------------------------------------------------------</t>
  </si>
  <si>
    <t>The ACTUARIAL ASSUMPTIONS used to determine the actuarial liabilities and net periodic</t>
  </si>
  <si>
    <t>postretirement benefit cost in accordance with ASC 715 are listed below:</t>
  </si>
  <si>
    <t xml:space="preserve">                                                 ---------------     ---------------</t>
  </si>
  <si>
    <t xml:space="preserve">              Expected Long-Term Rate of                                                 </t>
  </si>
  <si>
    <t xml:space="preserve">              Withdrawals                             Age    Rate       Age   Rate</t>
  </si>
  <si>
    <t xml:space="preserve">                males and females                     ---     ----      ---    ----</t>
  </si>
  <si>
    <t xml:space="preserve">                                                       20    .1080       20   .1080</t>
  </si>
  <si>
    <t xml:space="preserve">                                                       30    .0651       30   .0651</t>
  </si>
  <si>
    <t xml:space="preserve">                                                       40    .0366       40   .0366</t>
  </si>
  <si>
    <t xml:space="preserve">                                                       50    .0276       50   .0276</t>
  </si>
  <si>
    <t xml:space="preserve">                                                       60    .0228       60   .0228</t>
  </si>
  <si>
    <t xml:space="preserve">                                     - 13 -</t>
  </si>
  <si>
    <t xml:space="preserve">              Retirement Rates                        Age    Rate       Age   Rate</t>
  </si>
  <si>
    <t xml:space="preserve">                males and females                     ----   ----      -----  ----</t>
  </si>
  <si>
    <t xml:space="preserve">                                                       50     .05        50    .05 </t>
  </si>
  <si>
    <t xml:space="preserve">                                                     51-54    .03      51-54   .03</t>
  </si>
  <si>
    <t xml:space="preserve">                                                       55     .20        55    .20</t>
  </si>
  <si>
    <t xml:space="preserve">                                                     55-61    .15      55-61   .15</t>
  </si>
  <si>
    <t xml:space="preserve">                                                       62     .25        62    .25</t>
  </si>
  <si>
    <t xml:space="preserve">                                                     63-69    .50      63-69   .50</t>
  </si>
  <si>
    <t xml:space="preserve">                                                       70    1.00        70   1.00</t>
  </si>
  <si>
    <t xml:space="preserve">              Disability                              Age    Rate       Age   Rate</t>
  </si>
  <si>
    <t xml:space="preserve">                                                      ---    ----       ---   ----</t>
  </si>
  <si>
    <t xml:space="preserve">                                                       20    .0007       20   .0007</t>
  </si>
  <si>
    <t xml:space="preserve">                                                       30    .0009       30   .0009</t>
  </si>
  <si>
    <t xml:space="preserve">                                                       40    .0014       40   .0014</t>
  </si>
  <si>
    <t xml:space="preserve">                                                       50    .0038       50   .0038</t>
  </si>
  <si>
    <t xml:space="preserve">                                                       60    .0110       60   .0110</t>
  </si>
  <si>
    <t xml:space="preserve">              Disabled Mortality                  Same as Retirement     Same as Retirement</t>
  </si>
  <si>
    <t xml:space="preserve">                                                  Mortality              Mortality</t>
  </si>
  <si>
    <t xml:space="preserve">                                                  Tables, projected to   Tables, projected to</t>
  </si>
  <si>
    <t xml:space="preserve">                                                  future years on a      future years on a </t>
  </si>
  <si>
    <t xml:space="preserve">                                                  generational basis     generational basis</t>
  </si>
  <si>
    <t xml:space="preserve">              Per Capita Annual Dental and Vision</t>
  </si>
  <si>
    <t xml:space="preserve">              Under 65 Plan Participation</t>
  </si>
  <si>
    <t xml:space="preserve">                  KPIC Dual &amp; Extended Choice PPO             3%               0%</t>
  </si>
  <si>
    <t xml:space="preserve">             Over 65 Plan Participation</t>
  </si>
  <si>
    <t xml:space="preserve">                  Kaiser North Senior Advantage              59%              59%</t>
  </si>
  <si>
    <t xml:space="preserve">                  Kaiser South Senior Advantage              13%              13%</t>
  </si>
  <si>
    <t xml:space="preserve">                  Kaiser PPO                                  2%               0%</t>
  </si>
  <si>
    <t xml:space="preserve">                  United Health                              27%              28%</t>
  </si>
  <si>
    <t xml:space="preserve">                                     - 14 -</t>
  </si>
  <si>
    <t xml:space="preserve">      Per Capita Annual Medical Claims Rates</t>
  </si>
  <si>
    <t xml:space="preserve">                                                   ---    -----          ---    -----          ---    -----</t>
  </si>
  <si>
    <t xml:space="preserve">                                                   50    $9,954          58   $12,159          70    $3,933</t>
  </si>
  <si>
    <t xml:space="preserve">                                                   51    10,259          59    12,330          75     4,679</t>
  </si>
  <si>
    <t xml:space="preserve">                                                   52    10,565          60    12,843          80     5,276</t>
  </si>
  <si>
    <t xml:space="preserve">                                                   53    10,849          61    12,672    85 and over  5,540</t>
  </si>
  <si>
    <t xml:space="preserve">                                                   54    11,134          62    12,843</t>
  </si>
  <si>
    <t xml:space="preserve">                                                   55    11,419          63    13,056</t>
  </si>
  <si>
    <t xml:space="preserve">                                                   56    11,703          64    13,270</t>
  </si>
  <si>
    <t xml:space="preserve">     Family Status    50% of participants are married, with spouses assumed to be the </t>
  </si>
  <si>
    <t xml:space="preserve">                      same age.  15% of participants are assumed to have one child, </t>
  </si>
  <si>
    <t xml:space="preserve">                      who is 35 years younger than the participant.</t>
  </si>
  <si>
    <t xml:space="preserve">     Dependent</t>
  </si>
  <si>
    <t xml:space="preserve">     Coverage         For participants retiring after January 1, 2008, participants must</t>
  </si>
  <si>
    <t xml:space="preserve">                      pay 25% of dependent coverage cost if their service as of January</t>
  </si>
  <si>
    <t xml:space="preserve">                      1, 2008 is between 10 and 15 years.  Participants must pay 50% of</t>
  </si>
  <si>
    <t xml:space="preserve">                      dependent coverage cost if their service as of January 1, 2008 is</t>
  </si>
  <si>
    <t xml:space="preserve">                      less than 10 years.</t>
  </si>
  <si>
    <t xml:space="preserve">                                     - 15 -</t>
  </si>
  <si>
    <t>The ACTUARIAL COST METHOD used to determine the actuarial liabilities and net</t>
  </si>
  <si>
    <t xml:space="preserve">periodic postretirement benefit cost in accordance with ASC 715 is </t>
  </si>
  <si>
    <t>summarized below:</t>
  </si>
  <si>
    <t xml:space="preserve">   Name of Cost Method:                    Projected Unit Credit Cost Method</t>
  </si>
  <si>
    <t xml:space="preserve">   Calculation of Expected                 The expected postretirement benefit  </t>
  </si>
  <si>
    <t xml:space="preserve">     Postretirement Benefit Obligation:    obligation for an individual is the</t>
  </si>
  <si>
    <t xml:space="preserve">                                           actuarial present value of benefits</t>
  </si>
  <si>
    <t xml:space="preserve">                                           expected to be paid.</t>
  </si>
  <si>
    <t xml:space="preserve">   Calculation of Service Cost:            Service cost is that portion of the</t>
  </si>
  <si>
    <t xml:space="preserve">                                           expected postretirement benefit obligation </t>
  </si>
  <si>
    <t xml:space="preserve">                                           attributed to an individual's service</t>
  </si>
  <si>
    <t xml:space="preserve">                                           during the year.</t>
  </si>
  <si>
    <t xml:space="preserve">   Calculation of Accumulated              The accumulated postretirement benefit</t>
  </si>
  <si>
    <t xml:space="preserve">                                           portion of the expected postretirement</t>
  </si>
  <si>
    <t xml:space="preserve">                                           benefit obligation attributed to service</t>
  </si>
  <si>
    <t xml:space="preserve">                                           to date.  The accumulated postretirement</t>
  </si>
  <si>
    <t xml:space="preserve">                                           benefit obligation for the plan is the </t>
  </si>
  <si>
    <t xml:space="preserve">                                           sum of the accumulated postretirement </t>
  </si>
  <si>
    <t xml:space="preserve">                                           benefit obligations for all individuals</t>
  </si>
  <si>
    <t xml:space="preserve">                                           covered by the plan.                  </t>
  </si>
  <si>
    <t xml:space="preserve">   Vested Former Employees                 Assumed to retire and commence receipt</t>
  </si>
  <si>
    <t xml:space="preserve">                                           of benefits at age 55, or current age</t>
  </si>
  <si>
    <t xml:space="preserve">                                           if greater.</t>
  </si>
  <si>
    <t xml:space="preserve">The net periodic postretirement benefit cost (income) for a fiscal year is determined </t>
  </si>
  <si>
    <t xml:space="preserve">based on the value of the plan assets and liabilities at the beginning of the year. </t>
  </si>
  <si>
    <t>based on fiscal year end assumptions and data, the finalized information for</t>
  </si>
  <si>
    <t xml:space="preserve">   Development of Postretirement Benefit Cost (Income) Based on </t>
  </si>
  <si>
    <t xml:space="preserve">      (a)  Accumulated Postretirement Benefit Obligation at beg. of year</t>
  </si>
  <si>
    <t xml:space="preserve">      (1c)+(2e)+(3g)+(4)+(5)+(6)</t>
  </si>
  <si>
    <t xml:space="preserve">                                       - 17 -</t>
  </si>
  <si>
    <t xml:space="preserve">                                 SECTION X</t>
  </si>
  <si>
    <t xml:space="preserve">          SUMMARY OF PLAN PROVISIONS</t>
  </si>
  <si>
    <t xml:space="preserve">employees who retire after age 50 with at least 10 years of service.  Benefits are paid for </t>
  </si>
  <si>
    <t>the lives of the retired employee and his/her spouse (or domestic partner).</t>
  </si>
  <si>
    <t xml:space="preserve">for each year of service after 10 years, up to a maximum of 100% if the employee works at </t>
  </si>
  <si>
    <t xml:space="preserve">least 15 years.  Spouse benefits are paid based on the employee's years of service </t>
  </si>
  <si>
    <t>at 1-1-2008:</t>
  </si>
  <si>
    <t xml:space="preserve">    At least 15 years of service at 1-1-2008:   100% of spouse benefits are paid</t>
  </si>
  <si>
    <t xml:space="preserve">    At least 10 but less than </t>
  </si>
  <si>
    <t xml:space="preserve">      15 years of service at 1-1-2008:          75% of spouse benefits are paid</t>
  </si>
  <si>
    <t xml:space="preserve">    Less than 10 years of service at 1-1-2008:  50% of spouse benefits are paid</t>
  </si>
  <si>
    <t>reimburses the retiree for Medicare Part B premiums.</t>
  </si>
  <si>
    <t>Participation ends upon death, or when the retiree and/or survivor ceases paying</t>
  </si>
  <si>
    <t>required premiums.</t>
  </si>
  <si>
    <t xml:space="preserve">                                       - 18 -</t>
  </si>
  <si>
    <t xml:space="preserve">                                 SECTION XI</t>
  </si>
  <si>
    <t xml:space="preserve">          SUMMARY OF PARTICIPANT DATA</t>
  </si>
  <si>
    <t xml:space="preserve">                ASC 715 -- Assumptions and important variables</t>
  </si>
  <si>
    <t>Dates</t>
  </si>
  <si>
    <t xml:space="preserve"> 1. Beginning of fiscal year</t>
  </si>
  <si>
    <t xml:space="preserve"> 2. Ending of fiscal year</t>
  </si>
  <si>
    <t xml:space="preserve"> 3. Beginning of Subsequent year</t>
  </si>
  <si>
    <t xml:space="preserve"> 4. Beginning of fiscal year (year only)</t>
  </si>
  <si>
    <t>Assumptions</t>
  </si>
  <si>
    <t xml:space="preserve"> 1. Discount Rate Beginning of year</t>
  </si>
  <si>
    <t xml:space="preserve"> 2. Rate of Return on assets beginning of year</t>
  </si>
  <si>
    <t xml:space="preserve"> 3. Health Care Trend Rate-beginning of year</t>
  </si>
  <si>
    <t>graded</t>
  </si>
  <si>
    <t xml:space="preserve"> 4. Discount Rate end of year</t>
  </si>
  <si>
    <t xml:space="preserve"> 5. Rate of Return on assets End of year</t>
  </si>
  <si>
    <t xml:space="preserve"> 6. Health Care Trend Rate-end of year</t>
  </si>
  <si>
    <t>APBO</t>
  </si>
  <si>
    <t>Serv Cost</t>
  </si>
  <si>
    <t>APBO +1%</t>
  </si>
  <si>
    <t>Svc Cost +1%</t>
  </si>
  <si>
    <t>Actives-Fully elig</t>
  </si>
  <si>
    <t>Actives-Other</t>
  </si>
  <si>
    <t>Vested Terminated</t>
  </si>
  <si>
    <t>Retirees</t>
  </si>
  <si>
    <t>Total</t>
  </si>
  <si>
    <t>Year</t>
  </si>
  <si>
    <t>Payouts</t>
  </si>
  <si>
    <t>difference</t>
  </si>
  <si>
    <t>Interest Cost</t>
  </si>
  <si>
    <t>Interest Cost +1%</t>
  </si>
  <si>
    <t>Total +1%</t>
  </si>
  <si>
    <t xml:space="preserve">                                       - 16 -</t>
  </si>
  <si>
    <t>1. Year of Amendment (year ending)</t>
  </si>
  <si>
    <t>2. Current Year (year beginning)</t>
  </si>
  <si>
    <t>3. APBO before amendment</t>
  </si>
  <si>
    <t>4. APBO after amendment</t>
  </si>
  <si>
    <t>5. Unrecognized prior service cost (4) - (3)</t>
  </si>
  <si>
    <t>6. Average future service at valuation date</t>
  </si>
  <si>
    <t xml:space="preserve">   (expected recipients)</t>
  </si>
  <si>
    <t>7. Annual amortization of prior service cost (5)/(6)</t>
  </si>
  <si>
    <t>8. Unrecognized amount beginning of year</t>
  </si>
  <si>
    <t>9. Unrecognized amount end of year</t>
  </si>
  <si>
    <t xml:space="preserve">      and net (gain) loss [Item A(4)+A(5)+A(6)]</t>
  </si>
  <si>
    <t xml:space="preserve">   (1)+(2)-(3c)+(4f)</t>
  </si>
  <si>
    <t>Fair value of assets at beginning of year</t>
  </si>
  <si>
    <t>Fair value of assets at end of year</t>
  </si>
  <si>
    <t>Actual Non-inv. Expenses</t>
  </si>
  <si>
    <t>Net transition obligation (asset)</t>
  </si>
  <si>
    <t>(Accrued) Prepaid Pension Cost BOY</t>
  </si>
  <si>
    <t xml:space="preserve">      (1)+(2)(f)</t>
  </si>
  <si>
    <t>Assumed Expenses during year (current year)</t>
  </si>
  <si>
    <t>Calculation of Unrecognized PSC for 2013 Amendment</t>
  </si>
  <si>
    <t>Unrecognized transition obligation (asset)</t>
  </si>
  <si>
    <t>New prior service cost during year</t>
  </si>
  <si>
    <t>(Gain) or loss</t>
  </si>
  <si>
    <t>APBO BOY</t>
  </si>
  <si>
    <t>APBO EOY</t>
  </si>
  <si>
    <t>Corridor (10% of BOY APBO)</t>
  </si>
  <si>
    <t>(Gain) or loss subject to amortization</t>
  </si>
  <si>
    <t>Expected future years of service BOY</t>
  </si>
  <si>
    <t>Amortization amount</t>
  </si>
  <si>
    <t xml:space="preserve">                 APBO at End of Year</t>
  </si>
  <si>
    <t>1. APBO at beginning of year</t>
  </si>
  <si>
    <t>2. Interest on APBO at discount rate</t>
  </si>
  <si>
    <t>3. Service cost at year-end WS-1 (1c)</t>
  </si>
  <si>
    <t>4. Actual  distributions (including expenses)</t>
  </si>
  <si>
    <t>5. Interest on distributions Sch D-1 (6)</t>
  </si>
  <si>
    <t xml:space="preserve">     calculate consistently with WS-1 line 2b</t>
  </si>
  <si>
    <t>6. APBO at year-end  (1)+(2)+(3)-(4)-(5)</t>
  </si>
  <si>
    <t xml:space="preserve">   to WS-4 line 1</t>
  </si>
  <si>
    <t xml:space="preserve">                                  SECTION VII</t>
  </si>
  <si>
    <t xml:space="preserve">                                  SECTION IX</t>
  </si>
  <si>
    <t xml:space="preserve">                                 SECTION XII</t>
  </si>
  <si>
    <t>Subsidy</t>
  </si>
  <si>
    <t>Regular run</t>
  </si>
  <si>
    <t>Load factor</t>
  </si>
  <si>
    <t>Val date</t>
  </si>
  <si>
    <t>Discount Rate</t>
  </si>
  <si>
    <t>Actives - Fully elig</t>
  </si>
  <si>
    <t>Actives - Other</t>
  </si>
  <si>
    <t>Service Cost</t>
  </si>
  <si>
    <t>BOY SC</t>
  </si>
  <si>
    <t>Interest</t>
  </si>
  <si>
    <t>EOY SC</t>
  </si>
  <si>
    <t>PVB</t>
  </si>
  <si>
    <t>Actives</t>
  </si>
  <si>
    <t>Counts</t>
  </si>
  <si>
    <t>Spouses</t>
  </si>
  <si>
    <t>Average FWL</t>
  </si>
  <si>
    <t>Trend +1%</t>
  </si>
  <si>
    <t>APBO -1%</t>
  </si>
  <si>
    <t>Svc Cost -1%</t>
  </si>
  <si>
    <t>Trend -1%</t>
  </si>
  <si>
    <t>Change due to premiums</t>
  </si>
  <si>
    <t xml:space="preserve">                                                   57    11,988          65     4,970</t>
  </si>
  <si>
    <t xml:space="preserve">                                                  with Scale MP-2014     with Scale MP-2016</t>
  </si>
  <si>
    <t xml:space="preserve">                  Claims Rates                             $1,095           $1,095</t>
  </si>
  <si>
    <t xml:space="preserve">                  2016                           8.0%        5.5%</t>
  </si>
  <si>
    <t xml:space="preserve">              Medical Care Cost Trend Rate      Pre 65     Post 65      Pre 65     Post 65</t>
  </si>
  <si>
    <t xml:space="preserve">              Dental/Vision Care/Part B Cost Trend Rate  4.0%                 4.0%</t>
  </si>
  <si>
    <t>Age</t>
  </si>
  <si>
    <t>Male</t>
  </si>
  <si>
    <t>Female</t>
  </si>
  <si>
    <t xml:space="preserve">                                        Female     Age    Rate           Age    Rate           Age    Rate</t>
  </si>
  <si>
    <t>Benefit</t>
  </si>
  <si>
    <t>Old discount rate</t>
  </si>
  <si>
    <t xml:space="preserve">    Vested Former Employees                 0                13</t>
  </si>
  <si>
    <t xml:space="preserve">    Average Age of Employees             51.0              50.0</t>
  </si>
  <si>
    <t xml:space="preserve">    Average Service of Employees         13.6              10.6</t>
  </si>
  <si>
    <t xml:space="preserve">    Average Age of Retirees              72.1              71.4</t>
  </si>
  <si>
    <t xml:space="preserve">  12-15</t>
  </si>
  <si>
    <t xml:space="preserve">     16</t>
  </si>
  <si>
    <t xml:space="preserve">   SECTION  VIII  -  DEVELOPMENT OF PROJECTED NET PERIODIC </t>
  </si>
  <si>
    <t xml:space="preserve">   SECTION  VII  -  STATEMENT OF ACTUARIAL ASSUMPTIONS</t>
  </si>
  <si>
    <t xml:space="preserve">   SECTION  IX    - SUMMARY OF PLAN PROVISIONS</t>
  </si>
  <si>
    <t xml:space="preserve">   SECTION  X     - SUMMARY OF PARTICIPANT DATA</t>
  </si>
  <si>
    <t>7. Actual APBO EOY</t>
  </si>
  <si>
    <t>8. 2016 (gain)/loss</t>
  </si>
  <si>
    <t>9. 12/31/2015 unrecognized (gain)/loss</t>
  </si>
  <si>
    <t>10 2016 amortization</t>
  </si>
  <si>
    <t>11. 12/31/2016 unrecognized (gain)/loss</t>
  </si>
  <si>
    <t xml:space="preserve">       Determination of Net Periodic Postretirement Benefit Cost</t>
  </si>
  <si>
    <t>1. Service Cost</t>
  </si>
  <si>
    <t xml:space="preserve">   (a)  Amount due at Beginning of Year</t>
  </si>
  <si>
    <t xml:space="preserve">   (b)  Interest at discount rate</t>
  </si>
  <si>
    <t xml:space="preserve">   (c)  Total Service Cost (a)+(b)</t>
  </si>
  <si>
    <t>2. Interest Cost</t>
  </si>
  <si>
    <t xml:space="preserve">   (a)  APBO at Beginning of Year</t>
  </si>
  <si>
    <t xml:space="preserve">   (b)  Expected distributions, weighted for timing</t>
  </si>
  <si>
    <t xml:space="preserve">   (c)  Average expected APBO  (a)-(b)</t>
  </si>
  <si>
    <t xml:space="preserve">   (d)  Discount rate</t>
  </si>
  <si>
    <t xml:space="preserve">   (e)  Interest Cost  (c)x(d)</t>
  </si>
  <si>
    <t>3. Expected Return on Assets</t>
  </si>
  <si>
    <t xml:space="preserve">   (a)  Market-related value at beginning of year</t>
  </si>
  <si>
    <t xml:space="preserve">   (c)  Expected non-inv. expenses, weighted for timing</t>
  </si>
  <si>
    <t xml:space="preserve">   (d)  Expected Contributions, weighted for timing</t>
  </si>
  <si>
    <t xml:space="preserve">   (e)  Average market-related assets  (a)-(b)-(c)+(d)</t>
  </si>
  <si>
    <t xml:space="preserve">   (f)  Long-term rate of return</t>
  </si>
  <si>
    <t xml:space="preserve">   (g)  Expected return on assets  (e)x(f)</t>
  </si>
  <si>
    <t>4. Amort of transition (asset) or obligation--Sch A</t>
  </si>
  <si>
    <t>5. Amortization of Prior Service Cost--Sch B</t>
  </si>
  <si>
    <t>6. Amortization of (Gain) or Loss--Schedule C</t>
  </si>
  <si>
    <t>7. Net Periodic PR Benefit Cost (1c)+(2e)-(3g)+(4)+(5)+(6)</t>
  </si>
  <si>
    <t>1. Service Cost WS-1 (1c) no change</t>
  </si>
  <si>
    <t>2. Interest cost WS-1 (2e) no change</t>
  </si>
  <si>
    <t>3. Return on Assets</t>
  </si>
  <si>
    <t xml:space="preserve">   (a) Expected return WS-1 (3g)</t>
  </si>
  <si>
    <t xml:space="preserve">   (b) Asset (gain) loss  Schedule F</t>
  </si>
  <si>
    <t>4. Net amortization and deferral</t>
  </si>
  <si>
    <t xml:space="preserve">   (a) Transition amount    WS-1 line 4</t>
  </si>
  <si>
    <t xml:space="preserve">   (b) Prior service cost   WS-1 line 5</t>
  </si>
  <si>
    <t xml:space="preserve">   (c) (Gain) or loss       WS-1 line 6</t>
  </si>
  <si>
    <t xml:space="preserve">   (d) Asset (gain) or loss  Schedule F</t>
  </si>
  <si>
    <t xml:space="preserve">   (e) Total   (a)+(b)+(c)-(d)          </t>
  </si>
  <si>
    <t>5. Net periodic postretirement benefit cost</t>
  </si>
  <si>
    <t xml:space="preserve">   (1)+(2)-(3c)+(4e) = WS-1 (7)</t>
  </si>
  <si>
    <t>WS-1</t>
  </si>
  <si>
    <t>WS-2</t>
  </si>
  <si>
    <t xml:space="preserve">               Asset (Gain) or Loss</t>
  </si>
  <si>
    <t>1. Fair value at end of year</t>
  </si>
  <si>
    <t>2. Actual Distributions</t>
  </si>
  <si>
    <t>3. Actual Expenses</t>
  </si>
  <si>
    <t>4. Actual Contributions</t>
  </si>
  <si>
    <t xml:space="preserve">5. Fair Value at beginning of year  </t>
  </si>
  <si>
    <t>6. Actual return on assets (1)+(2)+(3)-(4)-(5)</t>
  </si>
  <si>
    <t>7. Expected Return on Assets  WS-1 (3g)</t>
  </si>
  <si>
    <t>8. Asset (gain) or loss  (7)-(6)</t>
  </si>
  <si>
    <t xml:space="preserve">   to WS-2 line 3b and 4d and C-1 line 7</t>
  </si>
  <si>
    <t>Schedule F</t>
  </si>
  <si>
    <t xml:space="preserve">             Amortization of (Gain) or Loss</t>
  </si>
  <si>
    <t>2. Fair Value of Plan assets at Valuation Date</t>
  </si>
  <si>
    <t>3. Unrecognized transition obligation (asset)--Sch A</t>
  </si>
  <si>
    <t>4. Unrecognized prior service cost--Sch B-1</t>
  </si>
  <si>
    <t>5. (Accrued) pre-paid postretirement benefit expense--Sch E</t>
  </si>
  <si>
    <t>6. (Gain) or loss  (1)-(2)-(3)-(4)+(5)</t>
  </si>
  <si>
    <t xml:space="preserve">       Alternate Calculation of (Gain) or Loss</t>
  </si>
  <si>
    <t>Remaining (Gain) or Loss from Prior Year</t>
  </si>
  <si>
    <t>----------------------------------------</t>
  </si>
  <si>
    <t xml:space="preserve"> 1. (Gain) or loss at previous valuation</t>
  </si>
  <si>
    <t/>
  </si>
  <si>
    <t xml:space="preserve"> 2. Amount recognized in previous year</t>
  </si>
  <si>
    <t xml:space="preserve"> 3. Remaining unrecognized (gain) or loss</t>
  </si>
  <si>
    <t>Liability (Gain) or Loss during Previous Year</t>
  </si>
  <si>
    <t>---------------------------------------------</t>
  </si>
  <si>
    <t xml:space="preserve"> 4. Actual APBO at valuation date - before amendment</t>
  </si>
  <si>
    <t xml:space="preserve"> 5. Projected APBO at valuation date </t>
  </si>
  <si>
    <t xml:space="preserve">    previous year schedule D-2</t>
  </si>
  <si>
    <t xml:space="preserve"> 6. Liability (gain) or loss  (4)-(5)     </t>
  </si>
  <si>
    <t>Asset (Gain) or Loss</t>
  </si>
  <si>
    <t>--------------------</t>
  </si>
  <si>
    <t xml:space="preserve"> 7. Expected Fair Value of assets at year-end  Sch D-3 </t>
  </si>
  <si>
    <t xml:space="preserve"> 8. Actual Fair Value of assets at year-end</t>
  </si>
  <si>
    <t xml:space="preserve"> 9. Actual Contributions less Expected Contributions</t>
  </si>
  <si>
    <t>10. Asset (Gain) or loss (7)-(8)+(9)</t>
  </si>
  <si>
    <t>Total (Gain) or Loss</t>
  </si>
  <si>
    <t>11. Total (gain) or loss  (3)+(6)+(7)</t>
  </si>
  <si>
    <t xml:space="preserve">    same as Sch C-EOY (6)</t>
  </si>
  <si>
    <t>1. APBO-before any plan amendments</t>
  </si>
  <si>
    <t>Schedule C-1</t>
  </si>
  <si>
    <t>Schedule C- EOY</t>
  </si>
  <si>
    <t xml:space="preserve">       (Accrued) or Prepaid Postretirement Benefit Cost</t>
  </si>
  <si>
    <t>1. (Accrued)/prepaid at beginning of year</t>
  </si>
  <si>
    <t>2. Net periodic postretirement benefit cost for Year</t>
  </si>
  <si>
    <t>3. Contributions actually made to the trust during year</t>
  </si>
  <si>
    <t>4. (Accrued)/prepaid postretirement benefit cost at end of year</t>
  </si>
  <si>
    <t>Schedule E</t>
  </si>
  <si>
    <t xml:space="preserve">   (1)-(2)+(3)</t>
  </si>
  <si>
    <t>Schedule C- BOY</t>
  </si>
  <si>
    <t>7. (Gain) or loss not reflected in market related value</t>
  </si>
  <si>
    <t xml:space="preserve">   (a)  Fair value</t>
  </si>
  <si>
    <t xml:space="preserve">   (b)  Market-related value</t>
  </si>
  <si>
    <t xml:space="preserve">   (c)  Amount included in unrecognized transition oblg</t>
  </si>
  <si>
    <t xml:space="preserve">        (asset) not yet reflected in MRV--Sch C-2</t>
  </si>
  <si>
    <t xml:space="preserve">   (d) Amount not reflected in MRV  (a)-(b)-(c)</t>
  </si>
  <si>
    <t>8. (Gain) or loss subject to amortization  (6)+(7d)</t>
  </si>
  <si>
    <t>9. Greater of (1) and (7b)</t>
  </si>
  <si>
    <t>10. 10% of (9)</t>
  </si>
  <si>
    <t>11. (Gain) or loss subject to amortization</t>
  </si>
  <si>
    <t xml:space="preserve">    Excess of (8) over (10)</t>
  </si>
  <si>
    <t>12. Average future service</t>
  </si>
  <si>
    <t>13. Amortization amount  (11)/(12)</t>
  </si>
  <si>
    <t>Schedule D-2</t>
  </si>
  <si>
    <t>Calculation of (Gain)/Loss</t>
  </si>
  <si>
    <t xml:space="preserve">            Reconciliation of Funded Status</t>
  </si>
  <si>
    <t>1. APBO - show as negative</t>
  </si>
  <si>
    <t>2. Plan Assets at fair value</t>
  </si>
  <si>
    <t>4. Unrecognized transition amount   Schedule A</t>
  </si>
  <si>
    <t>5. Unrecognized prior service cost  Schedule B</t>
  </si>
  <si>
    <t>6. Unrecognized net (gain) or loss  Schedule C</t>
  </si>
  <si>
    <t>7. Prepaid (Accrued ) Postretirement Benefit Cost</t>
  </si>
  <si>
    <t>WS-4</t>
  </si>
  <si>
    <t xml:space="preserve">   (3)+(4)+(5)+(6)</t>
  </si>
  <si>
    <t>(Accrued)/Prepaid EOY</t>
  </si>
  <si>
    <t>(Accrued)/Prepaid 12/31/2015</t>
  </si>
  <si>
    <t>Net Periodic Post retirement service cost 2016</t>
  </si>
  <si>
    <t>Actual contribution 2016</t>
  </si>
  <si>
    <t>(Accrued)/Prepaid 12/31/2016</t>
  </si>
  <si>
    <t>12/31/2016unamortized (Gain) or loss</t>
  </si>
  <si>
    <t xml:space="preserve">              Pre and Post Retirement Mortality   RP-2000 Mortality      RP-2014 Mortality</t>
  </si>
  <si>
    <t xml:space="preserve">                  Kaiser North HMO                           74%              85%</t>
  </si>
  <si>
    <t xml:space="preserve">                  Kaiser South HMO                           20%              15%</t>
  </si>
  <si>
    <t xml:space="preserve">                  2018                           7.5%        5%           7.75%        5.25%</t>
  </si>
  <si>
    <t xml:space="preserve">                  2022                           6.5%        5%           6.75%        5%</t>
  </si>
  <si>
    <t xml:space="preserve">                  2026                           5.5%        5%           5.75%        5%</t>
  </si>
  <si>
    <t xml:space="preserve">                  2019                           7.25%       5%           7.5%         5%</t>
  </si>
  <si>
    <t xml:space="preserve">                  2020                           7%          5%           7.25%        5%</t>
  </si>
  <si>
    <t xml:space="preserve">                  2021                           6.75%       5%           7.00%        5%</t>
  </si>
  <si>
    <t xml:space="preserve">                  2017                           7.75%       5.25%        8.00%        5.50%</t>
  </si>
  <si>
    <t xml:space="preserve">                  2023                           6.25%       5%           6.50%        5%</t>
  </si>
  <si>
    <t xml:space="preserve">                  2024                           6%          5%           6.25%        5%</t>
  </si>
  <si>
    <t xml:space="preserve">                  2025                           5.75%       5%           6.00%        5%</t>
  </si>
  <si>
    <t xml:space="preserve">                  2027                           5.25%       5%           5.50%        5%</t>
  </si>
  <si>
    <t xml:space="preserve">                  2028                           5%          5%           5.25%        5%</t>
  </si>
  <si>
    <t xml:space="preserve">                  2029                           5%          5%           5.0%         5%</t>
  </si>
  <si>
    <t xml:space="preserve">   (e) Total   (a)+(b)+(c)-(d)</t>
  </si>
  <si>
    <t>These counts are only those who were valued in these runs</t>
  </si>
  <si>
    <t>There are 49 actives and 165 retirees</t>
  </si>
  <si>
    <t xml:space="preserve">    Active Employees                       49                34</t>
  </si>
  <si>
    <r>
      <t xml:space="preserve">    Retired Employees                     </t>
    </r>
    <r>
      <rPr>
        <u/>
        <sz val="10"/>
        <rFont val="Courier"/>
        <family val="3"/>
      </rPr>
      <t>165</t>
    </r>
    <r>
      <rPr>
        <sz val="10"/>
        <rFont val="Courier"/>
        <family val="3"/>
      </rPr>
      <t xml:space="preserve">               </t>
    </r>
    <r>
      <rPr>
        <u/>
        <sz val="10"/>
        <rFont val="Courier"/>
        <family val="3"/>
      </rPr>
      <t>143</t>
    </r>
  </si>
  <si>
    <t xml:space="preserve">    Total                                 214               190</t>
  </si>
  <si>
    <t xml:space="preserve">                       Sample County Government Agency</t>
  </si>
  <si>
    <t xml:space="preserve">                                     (SCGA)</t>
  </si>
  <si>
    <t xml:space="preserve">                      Sample County Government Agency</t>
  </si>
  <si>
    <t>Sample County Government Agency</t>
  </si>
  <si>
    <t xml:space="preserve">            Sample County Government Agency</t>
  </si>
  <si>
    <t>SCGA provides health, dental and vision coverage to eligible retired participants</t>
  </si>
  <si>
    <t>within the SCGA Retirement Plan.  The participant must have at least 10 years of</t>
  </si>
  <si>
    <t xml:space="preserve">service, 15 years of service for full coverage.  SCGA allows the participant to  </t>
  </si>
  <si>
    <t xml:space="preserve">employees were allowed to choose a PPO type plan option.  SCGA pays part of the premiums </t>
  </si>
  <si>
    <t xml:space="preserve">addition, for retirees covered by medicare, SCGA reimburses retirees for their </t>
  </si>
  <si>
    <t>SCGA's funding policy is to make contributions on a pay-as-you-go basis.</t>
  </si>
  <si>
    <t xml:space="preserve">   2. Employees who transferred from SCGA to Local 1000 no longer earn service</t>
  </si>
  <si>
    <t>presented in the footnote to SCGA's financial statements, certain offsetting</t>
  </si>
  <si>
    <t>Because disclosure information for SCGA's financial statements is determined</t>
  </si>
  <si>
    <t>SCGA pays a portion of medical, dental and vision insurance premiums after retirement for</t>
  </si>
  <si>
    <t xml:space="preserve">The portion of premiums paid by SCGA is 50% with 10 years of service, plus an additional 10% </t>
  </si>
  <si>
    <t>Retirees are required to enroll under Medicare Part B and to pay the premiums.  SCGA</t>
  </si>
  <si>
    <t>The plan is funded by SCGA on a pay-as-you-go basis.</t>
  </si>
  <si>
    <t xml:space="preserve">  1- 1-2017</t>
  </si>
  <si>
    <t>The rest have no retiree benefits</t>
  </si>
  <si>
    <t>&lt;&lt;At request of client</t>
  </si>
  <si>
    <t>For conservatism</t>
  </si>
  <si>
    <t>Blue numbers are hard-coded from previous valuations</t>
  </si>
  <si>
    <t>Age-adjusted premiums (from another spreadsheet)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</si>
</sst>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164" formatCode="0_);\(0\)\ &quot;                                    &quot;\ \ \ \ \ \ \ \ \ \ \ \ \ \ \ \ \ \ \ \ \ \ \ \ \ \ \ \ \ \ \ \ \ \ \ \ \ "/>
    <numFmt numFmtId="165" formatCode="0_);\(0\)\ \ \ \ \ \ \ \ \ \ \ \ \ \ \ \ \ \ \ \ \ \ \ \ \ \ \ \ \ \ \ \ \ \ \ \ \ "/>
    <numFmt numFmtId="166" formatCode="0_);\(0\)"/>
    <numFmt numFmtId="167" formatCode="#,##0______\ "/>
    <numFmt numFmtId="168" formatCode="0.0%"/>
    <numFmt numFmtId="169" formatCode="0.000%"/>
    <numFmt numFmtId="170" formatCode="&quot;$&quot;#,##0"/>
    <numFmt numFmtId="171" formatCode="0.0000%"/>
    <numFmt numFmtId="172" formatCode="#,##0.0_);\(#,##0.0\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u/>
      <sz val="10"/>
      <name val="Courier"/>
      <family val="3"/>
    </font>
    <font>
      <sz val="10"/>
      <name val="Courier New"/>
      <family val="3"/>
    </font>
    <font>
      <b/>
      <sz val="10"/>
      <name val="Courier"/>
      <family val="3"/>
    </font>
    <font>
      <sz val="10"/>
      <color indexed="12"/>
      <name val="Courier"/>
      <family val="3"/>
    </font>
    <font>
      <sz val="9"/>
      <color rgb="FFFF0000"/>
      <name val="Arial"/>
      <family val="2"/>
    </font>
    <font>
      <b/>
      <u/>
      <sz val="9"/>
      <name val="Arial"/>
      <family val="2"/>
    </font>
    <font>
      <u/>
      <sz val="9"/>
      <color rgb="FFFF000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7" fillId="0" borderId="0" xfId="0" applyFont="1"/>
    <xf numFmtId="0" fontId="2" fillId="0" borderId="0" xfId="0" applyFont="1" applyFill="1" applyAlignment="1" applyProtection="1">
      <alignment horizontal="left"/>
    </xf>
    <xf numFmtId="0" fontId="2" fillId="0" borderId="0" xfId="0" applyFont="1" applyFill="1"/>
    <xf numFmtId="0" fontId="2" fillId="0" borderId="0" xfId="0" applyFont="1" applyFill="1" applyProtection="1"/>
    <xf numFmtId="0" fontId="2" fillId="0" borderId="0" xfId="0" applyFont="1" applyFill="1" applyAlignment="1">
      <alignment horizontal="center"/>
    </xf>
    <xf numFmtId="0" fontId="3" fillId="0" borderId="0" xfId="0" quotePrefix="1" applyFont="1" applyFill="1" applyAlignment="1" applyProtection="1">
      <alignment horizontal="center"/>
    </xf>
    <xf numFmtId="0" fontId="4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centerContinuous"/>
    </xf>
    <xf numFmtId="0" fontId="3" fillId="0" borderId="0" xfId="0" quotePrefix="1" applyFont="1" applyFill="1" applyAlignment="1">
      <alignment horizontal="center"/>
    </xf>
    <xf numFmtId="0" fontId="3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Fill="1" applyAlignment="1" applyProtection="1">
      <alignment horizontal="centerContinuous"/>
    </xf>
    <xf numFmtId="0" fontId="2" fillId="0" borderId="0" xfId="0" quotePrefix="1" applyFont="1" applyFill="1" applyAlignment="1" applyProtection="1">
      <alignment horizontal="centerContinuous"/>
    </xf>
    <xf numFmtId="0" fontId="2" fillId="0" borderId="0" xfId="0" applyFont="1" applyFill="1" applyAlignment="1" applyProtection="1"/>
    <xf numFmtId="0" fontId="0" fillId="0" borderId="0" xfId="0" applyFill="1"/>
    <xf numFmtId="0" fontId="2" fillId="0" borderId="0" xfId="0" quotePrefix="1" applyFont="1" applyFill="1" applyAlignment="1" applyProtection="1">
      <alignment horizontal="center"/>
    </xf>
    <xf numFmtId="0" fontId="2" fillId="0" borderId="0" xfId="0" quotePrefix="1" applyFont="1" applyFill="1" applyAlignment="1" applyProtection="1">
      <alignment horizontal="left"/>
    </xf>
    <xf numFmtId="0" fontId="2" fillId="0" borderId="1" xfId="0" applyFont="1" applyFill="1" applyBorder="1" applyAlignment="1" applyProtection="1">
      <alignment horizontal="fill"/>
    </xf>
    <xf numFmtId="0" fontId="2" fillId="0" borderId="0" xfId="0" applyFont="1" applyFill="1" applyAlignment="1" applyProtection="1">
      <alignment horizontal="right"/>
    </xf>
    <xf numFmtId="0" fontId="2" fillId="0" borderId="0" xfId="0" quotePrefix="1" applyFont="1" applyFill="1"/>
    <xf numFmtId="5" fontId="2" fillId="0" borderId="0" xfId="0" applyNumberFormat="1" applyFont="1" applyFill="1"/>
    <xf numFmtId="0" fontId="5" fillId="0" borderId="0" xfId="0" applyFont="1" applyFill="1"/>
    <xf numFmtId="0" fontId="5" fillId="0" borderId="0" xfId="0" applyFont="1" applyFill="1" applyAlignment="1" applyProtection="1">
      <alignment horizontal="center"/>
    </xf>
    <xf numFmtId="0" fontId="6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 applyProtection="1">
      <alignment horizontal="center"/>
    </xf>
    <xf numFmtId="0" fontId="7" fillId="0" borderId="0" xfId="0" applyFont="1" applyFill="1"/>
    <xf numFmtId="0" fontId="6" fillId="0" borderId="0" xfId="0" applyFont="1" applyFill="1" applyAlignment="1" applyProtection="1">
      <alignment horizontal="left"/>
    </xf>
    <xf numFmtId="0" fontId="2" fillId="0" borderId="0" xfId="0" quotePrefix="1" applyFont="1" applyFill="1" applyAlignment="1" applyProtection="1">
      <alignment horizontal="right"/>
    </xf>
    <xf numFmtId="0" fontId="2" fillId="0" borderId="0" xfId="0" applyFont="1" applyFill="1" applyAlignment="1">
      <alignment horizontal="right"/>
    </xf>
    <xf numFmtId="164" fontId="2" fillId="0" borderId="0" xfId="0" applyNumberFormat="1" applyFont="1" applyFill="1" applyAlignment="1" applyProtection="1">
      <alignment horizontal="center"/>
    </xf>
    <xf numFmtId="3" fontId="2" fillId="0" borderId="0" xfId="1" applyNumberFormat="1" applyFont="1" applyFill="1" applyAlignment="1" applyProtection="1">
      <alignment horizontal="center"/>
    </xf>
    <xf numFmtId="165" fontId="2" fillId="0" borderId="0" xfId="0" applyNumberFormat="1" applyFont="1" applyFill="1" applyAlignment="1">
      <alignment horizontal="right"/>
    </xf>
    <xf numFmtId="3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3" fontId="2" fillId="0" borderId="0" xfId="0" applyNumberFormat="1" applyFont="1" applyFill="1" applyAlignment="1" applyProtection="1">
      <alignment horizontal="center"/>
    </xf>
    <xf numFmtId="166" fontId="2" fillId="0" borderId="0" xfId="0" applyNumberFormat="1" applyFont="1" applyFill="1" applyAlignment="1">
      <alignment horizontal="right"/>
    </xf>
    <xf numFmtId="167" fontId="2" fillId="0" borderId="0" xfId="0" applyNumberFormat="1" applyFont="1" applyFill="1" applyAlignment="1" applyProtection="1">
      <alignment horizontal="center"/>
    </xf>
    <xf numFmtId="10" fontId="2" fillId="0" borderId="0" xfId="0" applyNumberFormat="1" applyFont="1" applyFill="1" applyProtection="1"/>
    <xf numFmtId="0" fontId="2" fillId="0" borderId="0" xfId="0" quotePrefix="1" applyFont="1" applyFill="1" applyProtection="1"/>
    <xf numFmtId="0" fontId="5" fillId="0" borderId="0" xfId="0" applyFont="1" applyFill="1" applyProtection="1"/>
    <xf numFmtId="0" fontId="2" fillId="0" borderId="0" xfId="0" quotePrefix="1" applyFont="1" applyFill="1" applyAlignment="1" applyProtection="1"/>
    <xf numFmtId="168" fontId="2" fillId="0" borderId="0" xfId="2" applyNumberFormat="1" applyFont="1" applyFill="1" applyAlignment="1"/>
    <xf numFmtId="168" fontId="2" fillId="0" borderId="0" xfId="2" applyNumberFormat="1" applyFont="1" applyFill="1"/>
    <xf numFmtId="0" fontId="6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 applyProtection="1">
      <alignment horizontal="center"/>
    </xf>
    <xf numFmtId="169" fontId="2" fillId="0" borderId="0" xfId="0" applyNumberFormat="1" applyFont="1" applyFill="1" applyProtection="1"/>
    <xf numFmtId="0" fontId="8" fillId="0" borderId="0" xfId="0" applyNumberFormat="1" applyFont="1" applyFill="1" applyProtection="1"/>
    <xf numFmtId="169" fontId="8" fillId="0" borderId="0" xfId="0" applyNumberFormat="1" applyFont="1" applyFill="1" applyProtection="1"/>
    <xf numFmtId="169" fontId="2" fillId="0" borderId="0" xfId="0" applyNumberFormat="1" applyFont="1" applyFill="1" applyAlignment="1" applyProtection="1">
      <alignment horizontal="right"/>
    </xf>
    <xf numFmtId="0" fontId="8" fillId="0" borderId="0" xfId="0" applyFont="1"/>
    <xf numFmtId="0" fontId="7" fillId="0" borderId="0" xfId="0" applyFont="1" applyAlignment="1">
      <alignment horizontal="right"/>
    </xf>
    <xf numFmtId="0" fontId="0" fillId="0" borderId="0" xfId="0" applyFont="1"/>
    <xf numFmtId="0" fontId="0" fillId="0" borderId="0" xfId="0" quotePrefix="1" applyFont="1" applyAlignment="1">
      <alignment horizontal="right"/>
    </xf>
    <xf numFmtId="0" fontId="0" fillId="0" borderId="0" xfId="0" quotePrefix="1" applyAlignment="1">
      <alignment horizontal="right"/>
    </xf>
    <xf numFmtId="9" fontId="0" fillId="0" borderId="0" xfId="2" applyFont="1"/>
    <xf numFmtId="0" fontId="9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0" fillId="0" borderId="0" xfId="0" applyNumberFormat="1"/>
    <xf numFmtId="0" fontId="13" fillId="0" borderId="0" xfId="0" applyFont="1"/>
    <xf numFmtId="0" fontId="10" fillId="0" borderId="0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170" fontId="8" fillId="0" borderId="0" xfId="0" applyNumberFormat="1" applyFont="1"/>
    <xf numFmtId="170" fontId="2" fillId="0" borderId="0" xfId="0" applyNumberFormat="1" applyFont="1"/>
    <xf numFmtId="166" fontId="8" fillId="0" borderId="0" xfId="0" applyNumberFormat="1" applyFont="1" applyFill="1" applyProtection="1"/>
    <xf numFmtId="166" fontId="2" fillId="0" borderId="0" xfId="0" applyNumberFormat="1" applyFont="1" applyFill="1" applyProtection="1"/>
    <xf numFmtId="0" fontId="14" fillId="0" borderId="0" xfId="0" applyFont="1"/>
    <xf numFmtId="10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15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37" fontId="15" fillId="0" borderId="0" xfId="0" applyNumberFormat="1" applyFont="1" applyAlignment="1">
      <alignment horizontal="center"/>
    </xf>
    <xf numFmtId="37" fontId="0" fillId="0" borderId="0" xfId="0" applyNumberFormat="1" applyAlignment="1">
      <alignment horizontal="center"/>
    </xf>
    <xf numFmtId="37" fontId="16" fillId="0" borderId="0" xfId="0" applyNumberFormat="1" applyFont="1" applyAlignment="1">
      <alignment horizontal="center"/>
    </xf>
    <xf numFmtId="37" fontId="17" fillId="0" borderId="0" xfId="0" applyNumberFormat="1" applyFont="1" applyAlignment="1">
      <alignment horizontal="center"/>
    </xf>
    <xf numFmtId="37" fontId="18" fillId="0" borderId="0" xfId="0" applyNumberFormat="1" applyFont="1" applyAlignment="1">
      <alignment horizontal="center"/>
    </xf>
    <xf numFmtId="37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37" fontId="0" fillId="0" borderId="0" xfId="0" applyNumberFormat="1"/>
    <xf numFmtId="9" fontId="0" fillId="0" borderId="0" xfId="0" applyNumberFormat="1"/>
    <xf numFmtId="171" fontId="0" fillId="0" borderId="0" xfId="0" applyNumberFormat="1"/>
    <xf numFmtId="0" fontId="19" fillId="0" borderId="0" xfId="0" applyFont="1"/>
    <xf numFmtId="0" fontId="19" fillId="0" borderId="0" xfId="0" quotePrefix="1" applyFont="1" applyAlignment="1">
      <alignment horizontal="right"/>
    </xf>
    <xf numFmtId="10" fontId="15" fillId="0" borderId="0" xfId="0" applyNumberFormat="1" applyFont="1"/>
    <xf numFmtId="37" fontId="14" fillId="0" borderId="0" xfId="0" applyNumberFormat="1" applyFont="1"/>
    <xf numFmtId="37" fontId="20" fillId="2" borderId="0" xfId="0" applyNumberFormat="1" applyFont="1" applyFill="1"/>
    <xf numFmtId="172" fontId="0" fillId="0" borderId="0" xfId="0" applyNumberFormat="1"/>
    <xf numFmtId="1" fontId="0" fillId="0" borderId="0" xfId="0" applyNumberFormat="1"/>
    <xf numFmtId="1" fontId="2" fillId="0" borderId="0" xfId="0" applyNumberFormat="1" applyFont="1" applyFill="1" applyProtection="1"/>
    <xf numFmtId="0" fontId="2" fillId="0" borderId="0" xfId="0" applyNumberFormat="1" applyFont="1" applyFill="1" applyProtection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1137"/>
  <sheetViews>
    <sheetView tabSelected="1" zoomScale="85" zoomScaleNormal="85" workbookViewId="0"/>
  </sheetViews>
  <sheetFormatPr defaultRowHeight="15" x14ac:dyDescent="0.25"/>
  <cols>
    <col min="1" max="1" width="78.28515625" style="21" customWidth="1"/>
    <col min="2" max="2" width="21.5703125" style="21" customWidth="1"/>
    <col min="3" max="3" width="13.7109375" style="21" customWidth="1"/>
  </cols>
  <sheetData>
    <row r="1" spans="1:3" ht="12" customHeight="1" x14ac:dyDescent="0.25">
      <c r="A1" s="3"/>
      <c r="B1" s="4"/>
      <c r="C1" s="4"/>
    </row>
    <row r="2" spans="1:3" ht="12" customHeight="1" x14ac:dyDescent="0.25">
      <c r="A2" s="4"/>
      <c r="B2" s="4"/>
      <c r="C2" s="4"/>
    </row>
    <row r="3" spans="1:3" ht="12" customHeight="1" x14ac:dyDescent="0.25">
      <c r="A3" s="4"/>
      <c r="B3" s="4"/>
      <c r="C3" s="4"/>
    </row>
    <row r="4" spans="1:3" ht="12" customHeight="1" x14ac:dyDescent="0.25">
      <c r="A4" s="4"/>
      <c r="B4" s="4"/>
      <c r="C4" s="4"/>
    </row>
    <row r="5" spans="1:3" ht="12" customHeight="1" x14ac:dyDescent="0.25">
      <c r="A5" s="4"/>
      <c r="B5" s="4"/>
      <c r="C5" s="4"/>
    </row>
    <row r="6" spans="1:3" ht="12" customHeight="1" x14ac:dyDescent="0.25">
      <c r="A6" s="4"/>
      <c r="B6" s="4"/>
      <c r="C6" s="4"/>
    </row>
    <row r="7" spans="1:3" ht="12" customHeight="1" x14ac:dyDescent="0.25">
      <c r="A7" s="4"/>
      <c r="B7" s="4"/>
      <c r="C7" s="4"/>
    </row>
    <row r="8" spans="1:3" ht="12" customHeight="1" x14ac:dyDescent="0.25">
      <c r="A8" s="4"/>
      <c r="B8" s="4"/>
      <c r="C8" s="4"/>
    </row>
    <row r="9" spans="1:3" ht="12" customHeight="1" x14ac:dyDescent="0.25">
      <c r="A9" s="4"/>
      <c r="B9" s="4"/>
      <c r="C9" s="4"/>
    </row>
    <row r="10" spans="1:3" ht="12" customHeight="1" x14ac:dyDescent="0.25">
      <c r="A10" s="4"/>
      <c r="B10" s="4"/>
      <c r="C10" s="4"/>
    </row>
    <row r="11" spans="1:3" ht="12" customHeight="1" x14ac:dyDescent="0.25">
      <c r="A11" s="4"/>
      <c r="B11" s="4"/>
      <c r="C11" s="4"/>
    </row>
    <row r="12" spans="1:3" ht="12" customHeight="1" x14ac:dyDescent="0.25">
      <c r="A12" s="4"/>
      <c r="B12" s="4"/>
      <c r="C12" s="4"/>
    </row>
    <row r="13" spans="1:3" ht="12" customHeight="1" x14ac:dyDescent="0.25">
      <c r="A13" s="4"/>
      <c r="B13" s="4"/>
      <c r="C13" s="4"/>
    </row>
    <row r="14" spans="1:3" ht="12" customHeight="1" x14ac:dyDescent="0.25">
      <c r="A14" s="6"/>
      <c r="B14" s="6"/>
      <c r="C14" s="4"/>
    </row>
    <row r="15" spans="1:3" ht="12" customHeight="1" x14ac:dyDescent="0.25">
      <c r="A15" s="6"/>
      <c r="B15" s="4"/>
      <c r="C15" s="4"/>
    </row>
    <row r="16" spans="1:3" ht="12" customHeight="1" x14ac:dyDescent="0.25">
      <c r="A16" s="7" t="s">
        <v>592</v>
      </c>
      <c r="B16" s="8"/>
      <c r="C16" s="9"/>
    </row>
    <row r="17" spans="1:3" ht="12" customHeight="1" x14ac:dyDescent="0.25">
      <c r="A17" s="10"/>
      <c r="B17" s="11"/>
      <c r="C17" s="4"/>
    </row>
    <row r="18" spans="1:3" ht="12" customHeight="1" x14ac:dyDescent="0.25">
      <c r="A18" s="10" t="s">
        <v>0</v>
      </c>
      <c r="B18" s="12"/>
      <c r="C18" s="13"/>
    </row>
    <row r="19" spans="1:3" ht="12" customHeight="1" x14ac:dyDescent="0.25">
      <c r="A19" s="14" t="s">
        <v>1</v>
      </c>
      <c r="B19" s="12"/>
      <c r="C19" s="13"/>
    </row>
    <row r="20" spans="1:3" ht="12" customHeight="1" x14ac:dyDescent="0.25">
      <c r="A20" s="14" t="str">
        <f>"December 31, "&amp;Calculations!B9</f>
        <v>December 31, 2016</v>
      </c>
      <c r="B20" s="12"/>
      <c r="C20" s="13"/>
    </row>
    <row r="21" spans="1:3" ht="12" customHeight="1" x14ac:dyDescent="0.25">
      <c r="A21" s="15"/>
      <c r="B21" s="11"/>
      <c r="C21" s="4"/>
    </row>
    <row r="22" spans="1:3" ht="12" customHeight="1" x14ac:dyDescent="0.25">
      <c r="A22" s="15" t="s">
        <v>2</v>
      </c>
      <c r="B22" s="12"/>
      <c r="C22" s="13"/>
    </row>
    <row r="23" spans="1:3" ht="12" customHeight="1" x14ac:dyDescent="0.25">
      <c r="A23" s="16"/>
      <c r="B23" s="11"/>
      <c r="C23" s="4"/>
    </row>
    <row r="24" spans="1:3" ht="12" customHeight="1" x14ac:dyDescent="0.25">
      <c r="A24" s="17"/>
      <c r="B24" s="11"/>
      <c r="C24" s="4"/>
    </row>
    <row r="25" spans="1:3" ht="12" customHeight="1" x14ac:dyDescent="0.25">
      <c r="A25" s="17"/>
      <c r="B25" s="11"/>
      <c r="C25" s="4"/>
    </row>
    <row r="26" spans="1:3" ht="12" customHeight="1" x14ac:dyDescent="0.25">
      <c r="A26" s="17"/>
      <c r="B26" s="11"/>
      <c r="C26" s="4"/>
    </row>
    <row r="27" spans="1:3" ht="12" customHeight="1" x14ac:dyDescent="0.25">
      <c r="A27" s="17"/>
      <c r="B27" s="11"/>
      <c r="C27" s="4"/>
    </row>
    <row r="28" spans="1:3" ht="12" customHeight="1" x14ac:dyDescent="0.25">
      <c r="A28" s="17"/>
      <c r="B28" s="11"/>
      <c r="C28" s="4"/>
    </row>
    <row r="29" spans="1:3" ht="12" customHeight="1" x14ac:dyDescent="0.25">
      <c r="A29" s="17"/>
      <c r="B29" s="11"/>
      <c r="C29" s="4"/>
    </row>
    <row r="30" spans="1:3" ht="12" customHeight="1" x14ac:dyDescent="0.25">
      <c r="A30" s="17"/>
      <c r="B30" s="11"/>
      <c r="C30" s="4"/>
    </row>
    <row r="31" spans="1:3" ht="12" customHeight="1" x14ac:dyDescent="0.25">
      <c r="A31" s="17"/>
      <c r="B31" s="11"/>
      <c r="C31" s="4"/>
    </row>
    <row r="32" spans="1:3" ht="12" customHeight="1" x14ac:dyDescent="0.25">
      <c r="A32" s="17"/>
      <c r="B32" s="11"/>
      <c r="C32" s="4"/>
    </row>
    <row r="33" spans="1:3" ht="12" customHeight="1" x14ac:dyDescent="0.25">
      <c r="A33" s="17"/>
      <c r="B33" s="11"/>
      <c r="C33" s="4"/>
    </row>
    <row r="34" spans="1:3" ht="12" customHeight="1" x14ac:dyDescent="0.25">
      <c r="A34" s="17"/>
      <c r="B34" s="11"/>
      <c r="C34" s="4"/>
    </row>
    <row r="35" spans="1:3" ht="12" customHeight="1" x14ac:dyDescent="0.25">
      <c r="A35" s="17"/>
      <c r="B35" s="11"/>
      <c r="C35" s="4"/>
    </row>
    <row r="36" spans="1:3" ht="12" customHeight="1" x14ac:dyDescent="0.25">
      <c r="A36" s="17"/>
      <c r="B36" s="11"/>
      <c r="C36" s="4"/>
    </row>
    <row r="37" spans="1:3" ht="12" customHeight="1" x14ac:dyDescent="0.25">
      <c r="A37" s="17"/>
      <c r="B37" s="11"/>
      <c r="C37" s="4"/>
    </row>
    <row r="38" spans="1:3" ht="12" customHeight="1" x14ac:dyDescent="0.25">
      <c r="A38" s="7" t="s">
        <v>3</v>
      </c>
      <c r="B38" s="11"/>
      <c r="C38" s="4"/>
    </row>
    <row r="39" spans="1:3" ht="12" customHeight="1" x14ac:dyDescent="0.25">
      <c r="A39" s="7" t="s">
        <v>4</v>
      </c>
      <c r="B39" s="11"/>
      <c r="C39" s="4"/>
    </row>
    <row r="40" spans="1:3" ht="12" customHeight="1" x14ac:dyDescent="0.25">
      <c r="A40" s="7" t="str">
        <f>"                    SCGA's December 31, "&amp;Calculations!B9&amp;" financial statements"</f>
        <v xml:space="preserve">                    SCGA's December 31, 2016 financial statements</v>
      </c>
      <c r="B40" s="11"/>
      <c r="C40" s="4"/>
    </row>
    <row r="41" spans="1:3" ht="12" customHeight="1" x14ac:dyDescent="0.25">
      <c r="A41" s="7" t="s">
        <v>5</v>
      </c>
      <c r="B41" s="11"/>
      <c r="C41" s="4"/>
    </row>
    <row r="42" spans="1:3" ht="12" customHeight="1" x14ac:dyDescent="0.25">
      <c r="A42" s="11"/>
      <c r="B42" s="11"/>
      <c r="C42" s="4"/>
    </row>
    <row r="43" spans="1:3" ht="12" customHeight="1" x14ac:dyDescent="0.25">
      <c r="A43" s="3"/>
      <c r="B43" s="4"/>
      <c r="C43" s="4"/>
    </row>
    <row r="44" spans="1:3" ht="12" customHeight="1" x14ac:dyDescent="0.25">
      <c r="A44" s="18" t="s">
        <v>591</v>
      </c>
      <c r="B44" s="4"/>
      <c r="C44" s="4"/>
    </row>
    <row r="45" spans="1:3" ht="12" customHeight="1" x14ac:dyDescent="0.25">
      <c r="A45" s="4"/>
      <c r="B45" s="4"/>
      <c r="C45" s="4"/>
    </row>
    <row r="46" spans="1:3" ht="12" customHeight="1" x14ac:dyDescent="0.25">
      <c r="A46" s="18" t="s">
        <v>6</v>
      </c>
      <c r="B46" s="13"/>
      <c r="C46" s="13"/>
    </row>
    <row r="47" spans="1:3" ht="12" customHeight="1" x14ac:dyDescent="0.25">
      <c r="A47" s="19" t="str">
        <f>"DECEMBER 31, "&amp;Calculations!B9</f>
        <v>DECEMBER 31, 2016</v>
      </c>
      <c r="B47" s="13"/>
      <c r="C47" s="13"/>
    </row>
    <row r="48" spans="1:3" ht="12" customHeight="1" x14ac:dyDescent="0.25">
      <c r="A48" s="5"/>
      <c r="B48" s="4"/>
      <c r="C48" s="4"/>
    </row>
    <row r="49" spans="1:3" ht="12" customHeight="1" x14ac:dyDescent="0.25">
      <c r="A49" s="5"/>
      <c r="B49" s="4"/>
      <c r="C49" s="4"/>
    </row>
    <row r="50" spans="1:3" ht="12" customHeight="1" x14ac:dyDescent="0.25">
      <c r="A50" s="5" t="str">
        <f>T(A$23)</f>
        <v/>
      </c>
      <c r="B50" s="4"/>
      <c r="C50" s="4"/>
    </row>
    <row r="51" spans="1:3" ht="12" customHeight="1" x14ac:dyDescent="0.25">
      <c r="A51" s="4"/>
      <c r="B51" s="4"/>
      <c r="C51" s="4"/>
    </row>
    <row r="52" spans="1:3" ht="12" customHeight="1" x14ac:dyDescent="0.25">
      <c r="A52" s="20" t="s">
        <v>7</v>
      </c>
      <c r="B52" s="4"/>
      <c r="C52" s="4"/>
    </row>
    <row r="53" spans="1:3" ht="12" customHeight="1" x14ac:dyDescent="0.25">
      <c r="A53" s="20" t="s">
        <v>8</v>
      </c>
      <c r="B53" s="4"/>
      <c r="C53" s="4"/>
    </row>
    <row r="54" spans="1:3" ht="12" customHeight="1" x14ac:dyDescent="0.25">
      <c r="A54" s="4"/>
      <c r="B54" s="4"/>
      <c r="C54" s="4"/>
    </row>
    <row r="55" spans="1:3" ht="12" customHeight="1" x14ac:dyDescent="0.25">
      <c r="A55" s="4"/>
      <c r="B55" s="4"/>
      <c r="C55" s="4"/>
    </row>
    <row r="56" spans="1:3" ht="12" customHeight="1" x14ac:dyDescent="0.25">
      <c r="A56" s="4"/>
      <c r="B56" s="4"/>
      <c r="C56" s="4"/>
    </row>
    <row r="57" spans="1:3" ht="12" customHeight="1" x14ac:dyDescent="0.25">
      <c r="A57" s="4"/>
      <c r="B57" s="4"/>
      <c r="C57" s="4"/>
    </row>
    <row r="58" spans="1:3" ht="12" customHeight="1" x14ac:dyDescent="0.25">
      <c r="A58" s="3" t="s">
        <v>9</v>
      </c>
      <c r="B58" s="4"/>
      <c r="C58" s="4"/>
    </row>
    <row r="59" spans="1:3" ht="12" customHeight="1" x14ac:dyDescent="0.25">
      <c r="A59" s="4"/>
      <c r="B59" s="4"/>
      <c r="C59" s="3" t="s">
        <v>10</v>
      </c>
    </row>
    <row r="60" spans="1:3" ht="12" customHeight="1" x14ac:dyDescent="0.25">
      <c r="A60" s="4"/>
      <c r="B60" s="4"/>
      <c r="C60" s="3" t="s">
        <v>11</v>
      </c>
    </row>
    <row r="61" spans="1:3" ht="12" customHeight="1" x14ac:dyDescent="0.25">
      <c r="A61" s="4"/>
      <c r="B61" s="4"/>
      <c r="C61" s="4"/>
    </row>
    <row r="62" spans="1:3" ht="12" customHeight="1" x14ac:dyDescent="0.25">
      <c r="A62" s="3" t="s">
        <v>12</v>
      </c>
      <c r="B62" s="4"/>
      <c r="C62" s="3" t="s">
        <v>13</v>
      </c>
    </row>
    <row r="63" spans="1:3" ht="12" customHeight="1" x14ac:dyDescent="0.25">
      <c r="A63" s="4"/>
      <c r="B63" s="4"/>
      <c r="C63" s="4"/>
    </row>
    <row r="64" spans="1:3" ht="12" customHeight="1" x14ac:dyDescent="0.25">
      <c r="A64" s="4"/>
      <c r="B64" s="4"/>
      <c r="C64" s="4"/>
    </row>
    <row r="65" spans="1:3" ht="12" customHeight="1" x14ac:dyDescent="0.25">
      <c r="A65" s="4"/>
      <c r="B65" s="4"/>
      <c r="C65" s="4"/>
    </row>
    <row r="66" spans="1:3" ht="12" customHeight="1" x14ac:dyDescent="0.25">
      <c r="A66" s="3" t="s">
        <v>14</v>
      </c>
      <c r="B66" s="4"/>
    </row>
    <row r="67" spans="1:3" ht="12" customHeight="1" x14ac:dyDescent="0.25">
      <c r="A67" s="4" t="s">
        <v>15</v>
      </c>
      <c r="B67" s="4"/>
      <c r="C67" s="3" t="s">
        <v>16</v>
      </c>
    </row>
    <row r="68" spans="1:3" ht="12" customHeight="1" x14ac:dyDescent="0.25">
      <c r="A68" s="4"/>
      <c r="B68" s="4"/>
      <c r="C68" s="4"/>
    </row>
    <row r="69" spans="1:3" ht="12" customHeight="1" x14ac:dyDescent="0.25">
      <c r="A69" s="4"/>
      <c r="B69" s="4"/>
      <c r="C69" s="4"/>
    </row>
    <row r="70" spans="1:3" ht="12" customHeight="1" x14ac:dyDescent="0.25">
      <c r="A70" s="3" t="s">
        <v>17</v>
      </c>
      <c r="B70" s="4"/>
      <c r="C70" s="4"/>
    </row>
    <row r="71" spans="1:3" ht="12" customHeight="1" x14ac:dyDescent="0.25">
      <c r="A71" s="20" t="s">
        <v>18</v>
      </c>
      <c r="B71" s="4"/>
      <c r="C71" s="4"/>
    </row>
    <row r="72" spans="1:3" ht="12" customHeight="1" x14ac:dyDescent="0.25">
      <c r="A72" s="5" t="str">
        <f>REPLACE("                         FOR THE FISCAL YEAR ENDING DECEMBER 31, 1990",66,4,FIXED(Calculations!B9,0,TRUE))</f>
        <v xml:space="preserve">                         FOR THE FISCAL YEAR ENDING DECEMBER 31, 2016</v>
      </c>
      <c r="B72" s="4"/>
      <c r="C72" s="3" t="s">
        <v>19</v>
      </c>
    </row>
    <row r="73" spans="1:3" ht="12" customHeight="1" x14ac:dyDescent="0.25">
      <c r="A73" s="4"/>
      <c r="B73" s="4"/>
      <c r="C73" s="4"/>
    </row>
    <row r="74" spans="1:3" ht="12" customHeight="1" x14ac:dyDescent="0.25">
      <c r="A74" s="4"/>
      <c r="B74" s="4"/>
      <c r="C74" s="4"/>
    </row>
    <row r="75" spans="1:3" ht="12" customHeight="1" x14ac:dyDescent="0.25">
      <c r="A75" s="4"/>
      <c r="B75" s="4"/>
      <c r="C75" s="4"/>
    </row>
    <row r="76" spans="1:3" ht="12" customHeight="1" x14ac:dyDescent="0.25">
      <c r="A76" s="3" t="s">
        <v>20</v>
      </c>
      <c r="B76" s="4"/>
      <c r="C76" s="22" t="s">
        <v>21</v>
      </c>
    </row>
    <row r="77" spans="1:3" ht="12" customHeight="1" x14ac:dyDescent="0.25">
      <c r="A77" s="3"/>
      <c r="B77" s="4"/>
      <c r="C77" s="22"/>
    </row>
    <row r="78" spans="1:3" ht="12" customHeight="1" x14ac:dyDescent="0.25">
      <c r="A78" s="3"/>
      <c r="B78" s="4"/>
      <c r="C78" s="22"/>
    </row>
    <row r="79" spans="1:3" ht="12" customHeight="1" x14ac:dyDescent="0.25">
      <c r="A79" s="3"/>
      <c r="B79" s="4"/>
      <c r="C79" s="22"/>
    </row>
    <row r="80" spans="1:3" ht="12" customHeight="1" x14ac:dyDescent="0.25">
      <c r="A80" s="3" t="s">
        <v>22</v>
      </c>
      <c r="B80" s="4"/>
      <c r="C80" s="22" t="s">
        <v>23</v>
      </c>
    </row>
    <row r="81" spans="1:3" ht="12" customHeight="1" x14ac:dyDescent="0.25">
      <c r="A81" s="4"/>
      <c r="B81" s="4"/>
      <c r="C81" s="4"/>
    </row>
    <row r="82" spans="1:3" ht="12" customHeight="1" x14ac:dyDescent="0.25">
      <c r="A82" s="4"/>
      <c r="B82" s="4"/>
      <c r="C82" s="4"/>
    </row>
    <row r="83" spans="1:3" ht="12" customHeight="1" x14ac:dyDescent="0.25">
      <c r="A83" s="4"/>
      <c r="B83" s="4"/>
      <c r="C83" s="4"/>
    </row>
    <row r="84" spans="1:3" ht="12" customHeight="1" x14ac:dyDescent="0.25">
      <c r="A84" s="3" t="s">
        <v>24</v>
      </c>
      <c r="B84" s="4"/>
      <c r="C84" s="4"/>
    </row>
    <row r="85" spans="1:3" ht="12" customHeight="1" x14ac:dyDescent="0.25">
      <c r="A85" s="3" t="s">
        <v>25</v>
      </c>
      <c r="B85" s="4"/>
      <c r="C85" s="23" t="s">
        <v>26</v>
      </c>
    </row>
    <row r="86" spans="1:3" ht="12" customHeight="1" x14ac:dyDescent="0.25">
      <c r="A86" s="3"/>
      <c r="B86" s="4"/>
      <c r="C86" s="23"/>
    </row>
    <row r="87" spans="1:3" ht="12" customHeight="1" x14ac:dyDescent="0.25">
      <c r="A87" s="3"/>
      <c r="B87" s="4"/>
      <c r="C87" s="23"/>
    </row>
    <row r="88" spans="1:3" ht="12" customHeight="1" x14ac:dyDescent="0.25">
      <c r="A88" s="3"/>
      <c r="B88" s="4"/>
      <c r="C88" s="23"/>
    </row>
    <row r="89" spans="1:3" ht="12" customHeight="1" x14ac:dyDescent="0.25">
      <c r="A89" s="3" t="s">
        <v>442</v>
      </c>
      <c r="B89" s="4"/>
      <c r="C89" s="4"/>
    </row>
    <row r="90" spans="1:3" ht="12" customHeight="1" x14ac:dyDescent="0.25">
      <c r="A90" s="3" t="s">
        <v>27</v>
      </c>
      <c r="B90" s="4"/>
      <c r="C90" s="3" t="s">
        <v>439</v>
      </c>
    </row>
    <row r="91" spans="1:3" ht="12" customHeight="1" x14ac:dyDescent="0.25">
      <c r="A91" s="4"/>
      <c r="B91" s="4"/>
      <c r="C91" s="4"/>
    </row>
    <row r="92" spans="1:3" ht="12" customHeight="1" x14ac:dyDescent="0.25">
      <c r="A92" s="4"/>
      <c r="B92" s="4"/>
      <c r="C92" s="4"/>
    </row>
    <row r="93" spans="1:3" ht="12" customHeight="1" x14ac:dyDescent="0.25">
      <c r="A93" s="4"/>
      <c r="B93" s="4"/>
      <c r="C93" s="4"/>
    </row>
    <row r="94" spans="1:3" ht="12" customHeight="1" x14ac:dyDescent="0.25">
      <c r="A94" s="3" t="s">
        <v>441</v>
      </c>
      <c r="B94" s="4"/>
      <c r="C94" s="4"/>
    </row>
    <row r="95" spans="1:3" ht="12" customHeight="1" x14ac:dyDescent="0.25">
      <c r="A95" s="3" t="s">
        <v>28</v>
      </c>
      <c r="B95" s="4"/>
      <c r="C95" s="4"/>
    </row>
    <row r="96" spans="1:3" ht="12" customHeight="1" x14ac:dyDescent="0.25">
      <c r="A96" s="5" t="str">
        <f>REPLACE("                          ENDING DECEMBER 31, 1991",47,4,FIXED(Calculations!B9+1,0,TRUE))</f>
        <v xml:space="preserve">                          ENDING DECEMBER 31, 2017</v>
      </c>
      <c r="B96" s="4"/>
      <c r="C96" s="23" t="s">
        <v>440</v>
      </c>
    </row>
    <row r="97" spans="1:3" ht="12" customHeight="1" x14ac:dyDescent="0.25">
      <c r="A97" s="5"/>
      <c r="B97" s="4"/>
      <c r="C97" s="23"/>
    </row>
    <row r="98" spans="1:3" ht="12" customHeight="1" x14ac:dyDescent="0.25">
      <c r="A98" s="5"/>
      <c r="B98" s="4"/>
      <c r="C98" s="23"/>
    </row>
    <row r="99" spans="1:3" ht="12" customHeight="1" x14ac:dyDescent="0.25">
      <c r="A99" s="5"/>
      <c r="B99" s="4"/>
      <c r="C99" s="23"/>
    </row>
    <row r="100" spans="1:3" ht="12" customHeight="1" x14ac:dyDescent="0.25">
      <c r="A100" s="3" t="s">
        <v>443</v>
      </c>
      <c r="B100" s="4"/>
      <c r="C100" s="23" t="s">
        <v>29</v>
      </c>
    </row>
    <row r="101" spans="1:3" ht="12" customHeight="1" x14ac:dyDescent="0.25">
      <c r="A101" s="5"/>
      <c r="B101" s="4"/>
      <c r="C101" s="23"/>
    </row>
    <row r="102" spans="1:3" ht="12" customHeight="1" x14ac:dyDescent="0.25">
      <c r="A102" s="5"/>
      <c r="B102" s="4"/>
      <c r="C102" s="23"/>
    </row>
    <row r="103" spans="1:3" ht="12" customHeight="1" x14ac:dyDescent="0.25">
      <c r="A103" s="5"/>
      <c r="B103" s="4"/>
      <c r="C103" s="23"/>
    </row>
    <row r="104" spans="1:3" ht="12" customHeight="1" x14ac:dyDescent="0.25">
      <c r="A104" s="3" t="s">
        <v>444</v>
      </c>
      <c r="B104" s="4"/>
      <c r="C104" s="23" t="s">
        <v>30</v>
      </c>
    </row>
    <row r="105" spans="1:3" ht="12" customHeight="1" x14ac:dyDescent="0.25">
      <c r="A105" s="5"/>
      <c r="B105" s="4"/>
      <c r="C105" s="23"/>
    </row>
    <row r="106" spans="1:3" ht="12" customHeight="1" x14ac:dyDescent="0.25">
      <c r="A106" s="4"/>
      <c r="B106" s="4"/>
      <c r="C106" s="4"/>
    </row>
    <row r="107" spans="1:3" ht="12" customHeight="1" x14ac:dyDescent="0.25">
      <c r="A107" s="3"/>
      <c r="B107" s="4"/>
      <c r="C107" s="4"/>
    </row>
    <row r="108" spans="1:3" ht="12" customHeight="1" x14ac:dyDescent="0.25">
      <c r="A108" s="18" t="s">
        <v>592</v>
      </c>
      <c r="B108" s="13"/>
      <c r="C108" s="13"/>
    </row>
    <row r="109" spans="1:3" ht="12" customHeight="1" x14ac:dyDescent="0.25">
      <c r="A109" s="4"/>
      <c r="B109" s="4"/>
      <c r="C109" s="4"/>
    </row>
    <row r="110" spans="1:3" ht="12" customHeight="1" x14ac:dyDescent="0.25">
      <c r="A110" s="18" t="s">
        <v>6</v>
      </c>
      <c r="B110" s="13"/>
      <c r="C110" s="13"/>
    </row>
    <row r="111" spans="1:3" ht="12" customHeight="1" x14ac:dyDescent="0.25">
      <c r="A111" s="19" t="str">
        <f>A47</f>
        <v>DECEMBER 31, 2016</v>
      </c>
      <c r="B111" s="13"/>
      <c r="C111" s="13"/>
    </row>
    <row r="112" spans="1:3" ht="12" customHeight="1" x14ac:dyDescent="0.25">
      <c r="A112" s="5" t="str">
        <f>T(A$23)</f>
        <v/>
      </c>
      <c r="B112" s="4"/>
      <c r="C112" s="4"/>
    </row>
    <row r="113" spans="1:3" ht="12" customHeight="1" x14ac:dyDescent="0.25">
      <c r="A113" s="4"/>
      <c r="B113" s="4"/>
      <c r="C113" s="4"/>
    </row>
    <row r="114" spans="1:3" ht="12" customHeight="1" x14ac:dyDescent="0.25">
      <c r="A114" s="4"/>
      <c r="B114" s="4"/>
      <c r="C114" s="4"/>
    </row>
    <row r="115" spans="1:3" ht="12" customHeight="1" x14ac:dyDescent="0.25">
      <c r="A115" s="20" t="s">
        <v>31</v>
      </c>
      <c r="B115" s="4"/>
      <c r="C115" s="4"/>
    </row>
    <row r="116" spans="1:3" ht="12" customHeight="1" x14ac:dyDescent="0.25">
      <c r="A116" s="4"/>
      <c r="B116" s="4"/>
      <c r="C116" s="4"/>
    </row>
    <row r="117" spans="1:3" ht="12" customHeight="1" x14ac:dyDescent="0.25">
      <c r="A117" s="20" t="s">
        <v>32</v>
      </c>
      <c r="B117" s="4"/>
      <c r="C117" s="4"/>
    </row>
    <row r="118" spans="1:3" ht="12" customHeight="1" x14ac:dyDescent="0.25">
      <c r="A118" s="20" t="s">
        <v>33</v>
      </c>
      <c r="B118" s="4"/>
      <c r="C118" s="4"/>
    </row>
    <row r="119" spans="1:3" ht="12" customHeight="1" x14ac:dyDescent="0.25">
      <c r="A119" s="4"/>
      <c r="B119" s="4"/>
      <c r="C119" s="4"/>
    </row>
    <row r="120" spans="1:3" ht="12" customHeight="1" x14ac:dyDescent="0.25">
      <c r="A120" s="4"/>
      <c r="B120" s="4"/>
      <c r="C120" s="4"/>
    </row>
    <row r="121" spans="1:3" ht="12" customHeight="1" x14ac:dyDescent="0.25">
      <c r="A121" s="3" t="s">
        <v>34</v>
      </c>
      <c r="B121" s="4"/>
      <c r="C121" s="4"/>
    </row>
    <row r="122" spans="1:3" ht="12" customHeight="1" x14ac:dyDescent="0.25">
      <c r="A122" s="4"/>
      <c r="B122" s="4"/>
      <c r="C122" s="4"/>
    </row>
    <row r="123" spans="1:3" ht="12" customHeight="1" x14ac:dyDescent="0.25">
      <c r="A123" s="24" t="s">
        <v>35</v>
      </c>
      <c r="B123" s="24" t="s">
        <v>35</v>
      </c>
      <c r="C123" s="24" t="s">
        <v>35</v>
      </c>
    </row>
    <row r="124" spans="1:3" ht="12" customHeight="1" x14ac:dyDescent="0.25">
      <c r="A124" s="4"/>
      <c r="B124" s="4"/>
      <c r="C124" s="4"/>
    </row>
    <row r="125" spans="1:3" ht="12" customHeight="1" x14ac:dyDescent="0.25">
      <c r="A125" s="4"/>
      <c r="B125" s="4"/>
      <c r="C125" s="25" t="s">
        <v>36</v>
      </c>
    </row>
    <row r="126" spans="1:3" ht="12" customHeight="1" x14ac:dyDescent="0.25">
      <c r="A126" s="3" t="s">
        <v>37</v>
      </c>
      <c r="B126" s="4"/>
      <c r="C126" s="4"/>
    </row>
    <row r="127" spans="1:3" ht="12" customHeight="1" x14ac:dyDescent="0.25">
      <c r="A127" s="5" t="str">
        <f>REPLACE("     fiscal year ending Dec. 31, 1990 in accordance with ASC 715",34,4,FIXED(Calculations!B9,0,TRUE))</f>
        <v xml:space="preserve">     fiscal year ending Dec. 31, 2016 in accordance with ASC 715</v>
      </c>
      <c r="B127" s="4"/>
      <c r="C127" s="5">
        <f>C326</f>
        <v>1499</v>
      </c>
    </row>
    <row r="128" spans="1:3" ht="12" customHeight="1" x14ac:dyDescent="0.25">
      <c r="A128" s="4"/>
      <c r="B128" s="4"/>
      <c r="C128" s="4"/>
    </row>
    <row r="129" spans="1:3" ht="12" customHeight="1" x14ac:dyDescent="0.25">
      <c r="A129" s="4"/>
      <c r="B129" s="4"/>
      <c r="C129" s="4"/>
    </row>
    <row r="130" spans="1:3" ht="12" customHeight="1" x14ac:dyDescent="0.25">
      <c r="A130" s="5" t="str">
        <f>REPLACE("  2. Plan assets at fair value on January 1, 1989",46,4,FIXED(Calculations!B9,0,TRUE))</f>
        <v xml:space="preserve">  2. Plan assets at fair value on January 1, 2016</v>
      </c>
      <c r="B130" s="4"/>
      <c r="C130" s="5">
        <f>C436</f>
        <v>0</v>
      </c>
    </row>
    <row r="131" spans="1:3" ht="12" customHeight="1" x14ac:dyDescent="0.25">
      <c r="A131" s="5" t="str">
        <f>REPLACE("  3. Plan assets at fair value on December 31, 1990",48,4,FIXED(Calculations!B9,0,TRUE))</f>
        <v xml:space="preserve">  3. Plan assets at fair value on December 31, 2016</v>
      </c>
      <c r="B131" s="4"/>
      <c r="C131" s="5">
        <f>Calculations!B26</f>
        <v>0</v>
      </c>
    </row>
    <row r="132" spans="1:3" ht="12" customHeight="1" x14ac:dyDescent="0.25">
      <c r="A132" s="4"/>
      <c r="B132" s="4"/>
      <c r="C132" s="4"/>
    </row>
    <row r="133" spans="1:3" ht="12" customHeight="1" x14ac:dyDescent="0.25">
      <c r="A133" s="4"/>
      <c r="B133" s="4"/>
      <c r="C133" s="4"/>
    </row>
    <row r="134" spans="1:3" ht="12" customHeight="1" x14ac:dyDescent="0.25">
      <c r="A134" s="5" t="str">
        <f>REPLACE("  4. Funded status on December 31, 1989 (Liability for postretirement benefits)",36,4,FIXED(Calculations!B9-1,0,TRUE))</f>
        <v xml:space="preserve">  4. Funded status on December 31, 2015 (Liability for postretirement benefits)</v>
      </c>
      <c r="B134" s="4"/>
      <c r="C134" s="5">
        <f>Calculations!B22</f>
        <v>-34723</v>
      </c>
    </row>
    <row r="135" spans="1:3" ht="12" customHeight="1" x14ac:dyDescent="0.25">
      <c r="A135" s="5" t="str">
        <f>REPLACE("  5. Funded status on December 31, 1989 (Liability for postretirement benefits)",36,4,FIXED(Calculations!B9,0,TRUE))</f>
        <v xml:space="preserve">  5. Funded status on December 31, 2016 (Liability for postretirement benefits)</v>
      </c>
      <c r="B135" s="4"/>
      <c r="C135" s="5">
        <f>+C594</f>
        <v>-31619</v>
      </c>
    </row>
    <row r="136" spans="1:3" ht="12" customHeight="1" x14ac:dyDescent="0.25">
      <c r="A136" s="4"/>
      <c r="B136" s="4"/>
      <c r="C136" s="4"/>
    </row>
    <row r="137" spans="1:3" ht="12" customHeight="1" x14ac:dyDescent="0.25">
      <c r="A137" s="5" t="str">
        <f>REPLACE("  6. Amount recognized in unrestricted net assets as of Dec. 31, 19xx",66,4,FIXED(Calculations!B9-1,0,TRUE))</f>
        <v xml:space="preserve">  6. Amount recognized in unrestricted net assets as of Dec. 31, 2015</v>
      </c>
      <c r="B137" s="4"/>
      <c r="C137" s="25">
        <f>C645</f>
        <v>106</v>
      </c>
    </row>
    <row r="138" spans="1:3" ht="12" customHeight="1" x14ac:dyDescent="0.25">
      <c r="A138" s="5" t="str">
        <f>REPLACE("  7. Amount recognized in unrestricted net assets as of Dec. 31, 19xx",66,4,FIXED(Calculations!B9,0,TRUE))</f>
        <v xml:space="preserve">  7. Amount recognized in unrestricted net assets as of Dec. 31, 2016</v>
      </c>
      <c r="B138" s="4"/>
      <c r="C138" s="5">
        <f>C656</f>
        <v>-2955</v>
      </c>
    </row>
    <row r="139" spans="1:3" ht="12" customHeight="1" x14ac:dyDescent="0.25">
      <c r="A139" s="4"/>
      <c r="B139" s="4"/>
      <c r="C139" s="4"/>
    </row>
    <row r="140" spans="1:3" ht="12" customHeight="1" x14ac:dyDescent="0.25">
      <c r="A140" s="4"/>
      <c r="B140" s="4"/>
      <c r="C140" s="4"/>
    </row>
    <row r="141" spans="1:3" ht="12" customHeight="1" x14ac:dyDescent="0.25">
      <c r="A141" s="5" t="str">
        <f>REPLACE("  8. Benefit payments for year ending December 31, 1990",52,4,FIXED(Calculations!B9,0,TRUE))</f>
        <v xml:space="preserve">  8. Benefit payments for year ending December 31, 2016</v>
      </c>
      <c r="B141" s="4"/>
      <c r="C141" s="5">
        <f>C144</f>
        <v>1542</v>
      </c>
    </row>
    <row r="142" spans="1:3" ht="12" customHeight="1" x14ac:dyDescent="0.25">
      <c r="A142" s="5"/>
      <c r="B142" s="4"/>
      <c r="C142" s="5"/>
    </row>
    <row r="143" spans="1:3" ht="12" customHeight="1" x14ac:dyDescent="0.25">
      <c r="A143" s="4"/>
      <c r="B143" s="4"/>
      <c r="C143" s="4"/>
    </row>
    <row r="144" spans="1:3" ht="12" customHeight="1" x14ac:dyDescent="0.25">
      <c r="A144" s="5" t="str">
        <f>REPLACE("  9. Employer contribution for year ending December 31, 19xx",57,4,FIXED(Calculations!B9,0,TRUE))</f>
        <v xml:space="preserve">  9. Employer contribution for year ending December 31, 2016</v>
      </c>
      <c r="B144" s="4"/>
      <c r="C144" s="5">
        <f>-Calculations!B23</f>
        <v>1542</v>
      </c>
    </row>
    <row r="145" spans="1:3" ht="12" customHeight="1" x14ac:dyDescent="0.25">
      <c r="A145" s="5"/>
      <c r="B145" s="4"/>
      <c r="C145" s="5"/>
    </row>
    <row r="146" spans="1:3" ht="12" customHeight="1" x14ac:dyDescent="0.25">
      <c r="A146" s="5"/>
      <c r="B146" s="4"/>
      <c r="C146" s="5"/>
    </row>
    <row r="147" spans="1:3" ht="12" customHeight="1" x14ac:dyDescent="0.25">
      <c r="A147" s="5" t="str">
        <f>REPLACE(" 10. Effect on Service Cost and Interest Cost as of December 31, 1990",66,4,FIXED(Calculations!B9,0,TRUE))</f>
        <v xml:space="preserve"> 10. Effect on Service Cost and Interest Cost as of December 31, 2016</v>
      </c>
      <c r="B147" s="4"/>
      <c r="C147" s="4"/>
    </row>
    <row r="148" spans="1:3" ht="12" customHeight="1" x14ac:dyDescent="0.25">
      <c r="A148" s="3" t="s">
        <v>38</v>
      </c>
      <c r="B148" s="4"/>
      <c r="C148" s="5">
        <f>ROUND(('OPEVS results'!E28-'OPEVS results'!C28)/1000,0)</f>
        <v>284</v>
      </c>
    </row>
    <row r="149" spans="1:3" ht="12" customHeight="1" x14ac:dyDescent="0.25">
      <c r="A149" s="5" t="str">
        <f>REPLACE(" 11. Effect on postretirement benefit obligation as of December 31, 1990",69,4,FIXED(Calculations!B9,0,TRUE))</f>
        <v xml:space="preserve"> 11. Effect on postretirement benefit obligation as of December 31, 2016</v>
      </c>
      <c r="B149" s="4"/>
      <c r="C149" s="4"/>
    </row>
    <row r="150" spans="1:3" ht="12" customHeight="1" x14ac:dyDescent="0.25">
      <c r="A150" s="3" t="s">
        <v>38</v>
      </c>
      <c r="B150" s="4"/>
      <c r="C150" s="5">
        <f>ROUND(('OPEVS results'!D24-'OPEVS results'!B24)/1000,0)</f>
        <v>4674</v>
      </c>
    </row>
    <row r="151" spans="1:3" ht="12" customHeight="1" x14ac:dyDescent="0.25">
      <c r="A151" s="4"/>
      <c r="B151" s="4"/>
      <c r="C151" s="4"/>
    </row>
    <row r="152" spans="1:3" ht="12" customHeight="1" x14ac:dyDescent="0.25">
      <c r="A152" s="4"/>
      <c r="B152" s="4"/>
      <c r="C152" s="4"/>
    </row>
    <row r="153" spans="1:3" ht="12" customHeight="1" x14ac:dyDescent="0.25">
      <c r="A153" s="3" t="s">
        <v>39</v>
      </c>
      <c r="B153" s="4"/>
      <c r="C153" s="4"/>
    </row>
    <row r="154" spans="1:3" ht="12" customHeight="1" x14ac:dyDescent="0.25">
      <c r="A154" s="5" t="str">
        <f>REPLACE("      ending December 31, 1991 in accordance with ASC 715",27,4,FIXED(Calculations!B9+1,0,TRUE))</f>
        <v xml:space="preserve">      ending December 31, 2017 in accordance with ASC 715</v>
      </c>
      <c r="B154" s="4"/>
      <c r="C154" s="5">
        <f>C1014</f>
        <v>1303.04</v>
      </c>
    </row>
    <row r="155" spans="1:3" ht="12" customHeight="1" x14ac:dyDescent="0.25">
      <c r="A155" s="4"/>
      <c r="B155" s="4"/>
      <c r="C155" s="4"/>
    </row>
    <row r="156" spans="1:3" ht="12" customHeight="1" x14ac:dyDescent="0.25">
      <c r="A156" s="4"/>
      <c r="B156" s="4"/>
      <c r="C156" s="4"/>
    </row>
    <row r="157" spans="1:3" ht="12" customHeight="1" x14ac:dyDescent="0.25">
      <c r="A157" s="26" t="str">
        <f>"*  Changes in benefit obligation during the 12 months ending 12/31/"&amp;Calculations!B9&amp;":"</f>
        <v>*  Changes in benefit obligation during the 12 months ending 12/31/2016:</v>
      </c>
      <c r="B157" s="4"/>
      <c r="C157" s="4"/>
    </row>
    <row r="158" spans="1:3" ht="12" customHeight="1" x14ac:dyDescent="0.25">
      <c r="A158" s="4"/>
      <c r="B158" s="4"/>
      <c r="C158" s="4"/>
    </row>
    <row r="159" spans="1:3" ht="12" customHeight="1" x14ac:dyDescent="0.25">
      <c r="A159" s="4" t="str">
        <f>"         Balance 12/31/"&amp;Calculations!B9-1</f>
        <v xml:space="preserve">         Balance 12/31/2015</v>
      </c>
      <c r="B159" s="4"/>
      <c r="C159" s="27">
        <f>-C134</f>
        <v>34723</v>
      </c>
    </row>
    <row r="160" spans="1:3" ht="12" customHeight="1" x14ac:dyDescent="0.25">
      <c r="A160" s="4"/>
      <c r="B160" s="4"/>
      <c r="C160" s="4"/>
    </row>
    <row r="161" spans="1:3" ht="12" customHeight="1" x14ac:dyDescent="0.25">
      <c r="A161" s="4" t="str">
        <f>"         "&amp;Calculations!B9&amp;" Service and Interest Cost"</f>
        <v xml:space="preserve">         2016 Service and Interest Cost</v>
      </c>
      <c r="B161" s="4"/>
      <c r="C161" s="4">
        <f>C305+C308</f>
        <v>1761</v>
      </c>
    </row>
    <row r="162" spans="1:3" ht="12" customHeight="1" x14ac:dyDescent="0.25">
      <c r="A162" s="4" t="str">
        <f>"         "&amp;Calculations!B9&amp;" Benefits Paid"</f>
        <v xml:space="preserve">         2016 Benefits Paid</v>
      </c>
      <c r="B162" s="4"/>
      <c r="C162" s="4">
        <f>Calculations!B23</f>
        <v>-1542</v>
      </c>
    </row>
    <row r="163" spans="1:3" ht="12" customHeight="1" x14ac:dyDescent="0.25">
      <c r="A163" s="4" t="str">
        <f>"         "&amp;IF(Calculations!B16&gt;=Calculations!B13,"Increase","Decrease")&amp;" in discount rate"</f>
        <v xml:space="preserve">         Decrease in discount rate</v>
      </c>
      <c r="B163" s="4"/>
      <c r="C163" s="4">
        <f>-ROUND('OPEVS results'!B39/1000,0)</f>
        <v>793</v>
      </c>
    </row>
    <row r="164" spans="1:3" ht="12" customHeight="1" x14ac:dyDescent="0.25">
      <c r="A164" s="4" t="s">
        <v>40</v>
      </c>
      <c r="B164" s="4"/>
      <c r="C164" s="4">
        <v>0</v>
      </c>
    </row>
    <row r="165" spans="1:3" ht="12" customHeight="1" x14ac:dyDescent="0.25">
      <c r="A165" s="4" t="s">
        <v>41</v>
      </c>
      <c r="B165" s="4"/>
      <c r="C165" s="4">
        <f>Calculations!B37</f>
        <v>-3419</v>
      </c>
    </row>
    <row r="166" spans="1:3" ht="12" customHeight="1" x14ac:dyDescent="0.25">
      <c r="A166" s="4" t="s">
        <v>42</v>
      </c>
      <c r="B166" s="4"/>
      <c r="C166" s="28">
        <f>-C135-SUM(C159:C165)</f>
        <v>-697</v>
      </c>
    </row>
    <row r="167" spans="1:3" ht="12" customHeight="1" x14ac:dyDescent="0.25">
      <c r="A167" s="4" t="s">
        <v>43</v>
      </c>
      <c r="B167" s="4"/>
      <c r="C167" s="4">
        <f>SUM(C161:C166)</f>
        <v>-3104</v>
      </c>
    </row>
    <row r="168" spans="1:3" ht="12" customHeight="1" x14ac:dyDescent="0.25">
      <c r="A168" s="4"/>
      <c r="B168" s="4"/>
      <c r="C168" s="4"/>
    </row>
    <row r="169" spans="1:3" ht="12" customHeight="1" x14ac:dyDescent="0.25">
      <c r="A169" s="4" t="str">
        <f>"         Balance 12/31/"&amp;Calculations!B9</f>
        <v xml:space="preserve">         Balance 12/31/2016</v>
      </c>
      <c r="B169" s="4"/>
      <c r="C169" s="27">
        <f>C167+C159</f>
        <v>31619</v>
      </c>
    </row>
    <row r="170" spans="1:3" ht="12" customHeight="1" x14ac:dyDescent="0.25">
      <c r="A170" s="4"/>
      <c r="B170" s="4"/>
      <c r="C170" s="4"/>
    </row>
    <row r="171" spans="1:3" ht="12" customHeight="1" x14ac:dyDescent="0.25">
      <c r="A171" s="4"/>
      <c r="B171" s="4"/>
      <c r="C171" s="4"/>
    </row>
    <row r="172" spans="1:3" ht="12" customHeight="1" x14ac:dyDescent="0.25">
      <c r="A172" s="4"/>
      <c r="B172" s="4"/>
      <c r="C172" s="4"/>
    </row>
    <row r="173" spans="1:3" ht="12" customHeight="1" x14ac:dyDescent="0.25">
      <c r="A173" s="4"/>
      <c r="B173" s="4"/>
      <c r="C173" s="4"/>
    </row>
    <row r="174" spans="1:3" ht="12" customHeight="1" x14ac:dyDescent="0.25">
      <c r="A174" s="24"/>
      <c r="B174" s="24" t="s">
        <v>35</v>
      </c>
      <c r="C174" s="24" t="s">
        <v>35</v>
      </c>
    </row>
    <row r="175" spans="1:3" ht="12" customHeight="1" x14ac:dyDescent="0.25">
      <c r="A175" s="4"/>
      <c r="B175" s="4"/>
      <c r="C175" s="4"/>
    </row>
    <row r="176" spans="1:3" ht="12" customHeight="1" x14ac:dyDescent="0.25">
      <c r="A176" s="4"/>
      <c r="B176" s="4"/>
      <c r="C176" s="4"/>
    </row>
    <row r="177" spans="1:3" ht="12" customHeight="1" x14ac:dyDescent="0.25">
      <c r="A177" s="20" t="s">
        <v>44</v>
      </c>
      <c r="B177" s="4"/>
      <c r="C177" s="4"/>
    </row>
    <row r="178" spans="1:3" ht="12" customHeight="1" x14ac:dyDescent="0.25">
      <c r="A178" s="3"/>
      <c r="B178" s="4"/>
      <c r="C178" s="4"/>
    </row>
    <row r="179" spans="1:3" ht="12" customHeight="1" x14ac:dyDescent="0.25">
      <c r="A179" s="18" t="s">
        <v>593</v>
      </c>
      <c r="B179" s="4"/>
      <c r="C179" s="4"/>
    </row>
    <row r="180" spans="1:3" ht="12" customHeight="1" x14ac:dyDescent="0.25">
      <c r="A180" s="4"/>
      <c r="B180" s="4"/>
      <c r="C180" s="4"/>
    </row>
    <row r="181" spans="1:3" ht="12" customHeight="1" x14ac:dyDescent="0.25">
      <c r="A181" s="18" t="s">
        <v>45</v>
      </c>
      <c r="B181" s="4"/>
      <c r="C181" s="4"/>
    </row>
    <row r="182" spans="1:3" ht="12" customHeight="1" x14ac:dyDescent="0.25">
      <c r="A182" s="18" t="str">
        <f>"          "&amp;A111</f>
        <v xml:space="preserve">          DECEMBER 31, 2016</v>
      </c>
      <c r="B182" s="4"/>
      <c r="C182" s="4"/>
    </row>
    <row r="183" spans="1:3" ht="12" customHeight="1" x14ac:dyDescent="0.25">
      <c r="A183" s="5" t="str">
        <f>T(A$23)</f>
        <v/>
      </c>
      <c r="B183" s="4"/>
      <c r="C183" s="4"/>
    </row>
    <row r="184" spans="1:3" ht="12" customHeight="1" x14ac:dyDescent="0.25">
      <c r="A184" s="4"/>
      <c r="B184" s="4"/>
      <c r="C184" s="4"/>
    </row>
    <row r="185" spans="1:3" ht="12" customHeight="1" x14ac:dyDescent="0.25">
      <c r="A185" s="4"/>
      <c r="B185" s="4"/>
      <c r="C185" s="4"/>
    </row>
    <row r="186" spans="1:3" ht="12" customHeight="1" x14ac:dyDescent="0.25">
      <c r="A186" s="20" t="s">
        <v>46</v>
      </c>
      <c r="B186" s="4"/>
      <c r="C186" s="4"/>
    </row>
    <row r="187" spans="1:3" ht="12" customHeight="1" x14ac:dyDescent="0.25">
      <c r="A187" s="9"/>
      <c r="B187" s="4"/>
      <c r="C187" s="4"/>
    </row>
    <row r="188" spans="1:3" ht="12" customHeight="1" x14ac:dyDescent="0.25">
      <c r="A188" s="20" t="s">
        <v>47</v>
      </c>
      <c r="B188" s="4"/>
      <c r="C188" s="4"/>
    </row>
    <row r="189" spans="1:3" ht="12" customHeight="1" x14ac:dyDescent="0.25">
      <c r="A189" s="20" t="s">
        <v>48</v>
      </c>
      <c r="B189" s="4"/>
      <c r="C189" s="4"/>
    </row>
    <row r="190" spans="1:3" ht="12" customHeight="1" x14ac:dyDescent="0.25">
      <c r="A190" s="4"/>
      <c r="B190" s="4"/>
      <c r="C190" s="4"/>
    </row>
    <row r="191" spans="1:3" ht="12" customHeight="1" x14ac:dyDescent="0.25">
      <c r="A191" s="3" t="s">
        <v>49</v>
      </c>
      <c r="B191" s="6"/>
      <c r="C191" s="6"/>
    </row>
    <row r="192" spans="1:3" ht="12" customHeight="1" x14ac:dyDescent="0.25">
      <c r="A192" s="3" t="str">
        <f>REPLACE("for SCGA's December 31, 1990 financial statements in accordance with FASB",25,4,FIXED(Calculations!B9,0,TRUE))</f>
        <v>for SCGA's December 31, 2016 financial statements in accordance with FASB</v>
      </c>
      <c r="B192" s="6"/>
      <c r="C192" s="6"/>
    </row>
    <row r="193" spans="1:3" ht="12" customHeight="1" x14ac:dyDescent="0.25">
      <c r="A193" s="3" t="s">
        <v>50</v>
      </c>
      <c r="B193" s="6"/>
      <c r="C193" s="6"/>
    </row>
    <row r="194" spans="1:3" ht="12" customHeight="1" x14ac:dyDescent="0.25">
      <c r="A194" s="6"/>
      <c r="B194" s="6"/>
      <c r="C194" s="6"/>
    </row>
    <row r="195" spans="1:3" ht="12" customHeight="1" x14ac:dyDescent="0.25">
      <c r="A195" s="29" t="s">
        <v>51</v>
      </c>
      <c r="B195" s="6"/>
      <c r="C195" s="6"/>
    </row>
    <row r="196" spans="1:3" ht="12" customHeight="1" x14ac:dyDescent="0.25">
      <c r="A196" s="6"/>
      <c r="B196" s="6"/>
      <c r="C196" s="6"/>
    </row>
    <row r="197" spans="1:3" ht="12" customHeight="1" x14ac:dyDescent="0.25">
      <c r="A197" s="3" t="s">
        <v>594</v>
      </c>
      <c r="B197" s="30"/>
      <c r="C197" s="30"/>
    </row>
    <row r="198" spans="1:3" ht="12" customHeight="1" x14ac:dyDescent="0.25">
      <c r="A198" s="3" t="s">
        <v>595</v>
      </c>
      <c r="B198" s="30"/>
      <c r="C198" s="30"/>
    </row>
    <row r="199" spans="1:3" ht="12" customHeight="1" x14ac:dyDescent="0.25">
      <c r="A199" s="3" t="s">
        <v>596</v>
      </c>
      <c r="B199" s="30"/>
      <c r="C199" s="30"/>
    </row>
    <row r="200" spans="1:3" ht="12" customHeight="1" x14ac:dyDescent="0.25">
      <c r="A200" s="31" t="s">
        <v>52</v>
      </c>
      <c r="B200" s="30"/>
      <c r="C200" s="30"/>
    </row>
    <row r="201" spans="1:3" ht="12" customHeight="1" x14ac:dyDescent="0.25">
      <c r="A201" s="3" t="s">
        <v>53</v>
      </c>
      <c r="B201" s="30"/>
      <c r="C201" s="30"/>
    </row>
    <row r="202" spans="1:3" ht="12" customHeight="1" x14ac:dyDescent="0.25">
      <c r="A202" s="3" t="s">
        <v>597</v>
      </c>
      <c r="B202" s="30"/>
      <c r="C202" s="30"/>
    </row>
    <row r="203" spans="1:3" ht="12" customHeight="1" x14ac:dyDescent="0.25">
      <c r="A203" s="3" t="s">
        <v>54</v>
      </c>
      <c r="B203" s="30"/>
      <c r="C203" s="30"/>
    </row>
    <row r="204" spans="1:3" ht="12" customHeight="1" x14ac:dyDescent="0.25">
      <c r="A204" s="31" t="s">
        <v>598</v>
      </c>
      <c r="B204" s="30"/>
      <c r="C204" s="30"/>
    </row>
    <row r="205" spans="1:3" ht="12" customHeight="1" x14ac:dyDescent="0.25">
      <c r="A205" s="3" t="s">
        <v>55</v>
      </c>
      <c r="B205" s="30"/>
      <c r="C205" s="30"/>
    </row>
    <row r="206" spans="1:3" ht="12" customHeight="1" x14ac:dyDescent="0.25">
      <c r="A206" s="3" t="s">
        <v>56</v>
      </c>
      <c r="B206" s="30"/>
      <c r="C206" s="30"/>
    </row>
    <row r="207" spans="1:3" ht="12" customHeight="1" x14ac:dyDescent="0.25">
      <c r="A207" s="32"/>
      <c r="B207" s="30"/>
      <c r="C207" s="30"/>
    </row>
    <row r="208" spans="1:3" ht="12" customHeight="1" x14ac:dyDescent="0.25">
      <c r="A208" s="31" t="s">
        <v>599</v>
      </c>
      <c r="B208" s="30"/>
      <c r="C208" s="30"/>
    </row>
    <row r="209" spans="1:3" ht="12" customHeight="1" x14ac:dyDescent="0.25">
      <c r="A209" s="31"/>
      <c r="B209" s="30"/>
      <c r="C209" s="30"/>
    </row>
    <row r="210" spans="1:3" ht="12" customHeight="1" x14ac:dyDescent="0.25">
      <c r="A210" s="31" t="s">
        <v>57</v>
      </c>
      <c r="B210" s="30"/>
      <c r="C210" s="30"/>
    </row>
    <row r="211" spans="1:3" ht="12" customHeight="1" x14ac:dyDescent="0.25">
      <c r="A211" s="31" t="s">
        <v>58</v>
      </c>
      <c r="B211" s="30"/>
      <c r="C211" s="30"/>
    </row>
    <row r="212" spans="1:3" ht="12" customHeight="1" x14ac:dyDescent="0.25">
      <c r="A212" s="32"/>
      <c r="B212" s="6"/>
      <c r="C212" s="6"/>
    </row>
    <row r="213" spans="1:3" ht="12" customHeight="1" x14ac:dyDescent="0.25">
      <c r="A213" s="33" t="s">
        <v>59</v>
      </c>
    </row>
    <row r="214" spans="1:3" ht="12" customHeight="1" x14ac:dyDescent="0.25">
      <c r="A214" s="3" t="s">
        <v>60</v>
      </c>
    </row>
    <row r="215" spans="1:3" ht="12" customHeight="1" x14ac:dyDescent="0.25">
      <c r="A215" s="3" t="s">
        <v>600</v>
      </c>
    </row>
    <row r="216" spans="1:3" ht="12" customHeight="1" x14ac:dyDescent="0.25">
      <c r="A216" s="3" t="s">
        <v>61</v>
      </c>
    </row>
    <row r="217" spans="1:3" ht="12" customHeight="1" x14ac:dyDescent="0.25">
      <c r="A217" s="3" t="s">
        <v>62</v>
      </c>
    </row>
    <row r="218" spans="1:3" ht="12" customHeight="1" x14ac:dyDescent="0.25">
      <c r="A218" s="3" t="s">
        <v>63</v>
      </c>
    </row>
    <row r="219" spans="1:3" ht="12" customHeight="1" x14ac:dyDescent="0.25">
      <c r="A219" s="3" t="s">
        <v>64</v>
      </c>
    </row>
    <row r="220" spans="1:3" ht="12" customHeight="1" x14ac:dyDescent="0.25">
      <c r="A220" s="3" t="s">
        <v>65</v>
      </c>
    </row>
    <row r="221" spans="1:3" ht="12" customHeight="1" x14ac:dyDescent="0.25">
      <c r="A221" s="3" t="s">
        <v>66</v>
      </c>
    </row>
    <row r="222" spans="1:3" ht="12" customHeight="1" x14ac:dyDescent="0.25">
      <c r="A222" s="3" t="s">
        <v>67</v>
      </c>
    </row>
    <row r="223" spans="1:3" ht="12" customHeight="1" x14ac:dyDescent="0.25">
      <c r="A223" s="3" t="s">
        <v>68</v>
      </c>
    </row>
    <row r="224" spans="1:3" ht="12" customHeight="1" x14ac:dyDescent="0.25">
      <c r="A224" s="3" t="s">
        <v>69</v>
      </c>
    </row>
    <row r="225" spans="1:3" ht="12" customHeight="1" x14ac:dyDescent="0.25">
      <c r="A225" s="3" t="s">
        <v>70</v>
      </c>
    </row>
    <row r="226" spans="1:3" ht="12" customHeight="1" x14ac:dyDescent="0.25"/>
    <row r="227" spans="1:3" ht="12" customHeight="1" x14ac:dyDescent="0.25">
      <c r="A227" s="20" t="s">
        <v>71</v>
      </c>
      <c r="B227" s="4"/>
      <c r="C227" s="4"/>
    </row>
    <row r="228" spans="1:3" ht="12" customHeight="1" x14ac:dyDescent="0.25">
      <c r="A228" s="3"/>
      <c r="B228" s="4"/>
      <c r="C228" s="4"/>
    </row>
    <row r="229" spans="1:3" ht="12" customHeight="1" x14ac:dyDescent="0.25">
      <c r="A229" s="18" t="s">
        <v>593</v>
      </c>
      <c r="B229" s="4"/>
      <c r="C229" s="4"/>
    </row>
    <row r="230" spans="1:3" ht="12" customHeight="1" x14ac:dyDescent="0.25">
      <c r="A230" s="4"/>
      <c r="B230" s="4"/>
      <c r="C230" s="4"/>
    </row>
    <row r="231" spans="1:3" ht="12" customHeight="1" x14ac:dyDescent="0.25">
      <c r="A231" s="18" t="s">
        <v>45</v>
      </c>
      <c r="B231" s="4"/>
      <c r="C231" s="4"/>
    </row>
    <row r="232" spans="1:3" ht="12" customHeight="1" x14ac:dyDescent="0.25">
      <c r="A232" s="18" t="str">
        <f>A182</f>
        <v xml:space="preserve">          DECEMBER 31, 2016</v>
      </c>
      <c r="B232" s="4"/>
      <c r="C232" s="4"/>
    </row>
    <row r="233" spans="1:3" ht="12" customHeight="1" x14ac:dyDescent="0.25">
      <c r="A233" s="5" t="str">
        <f>T(A$23)</f>
        <v/>
      </c>
      <c r="B233" s="4"/>
      <c r="C233" s="4"/>
    </row>
    <row r="234" spans="1:3" ht="12" customHeight="1" x14ac:dyDescent="0.25">
      <c r="A234" s="4"/>
      <c r="B234" s="4"/>
      <c r="C234" s="4"/>
    </row>
    <row r="235" spans="1:3" ht="12" customHeight="1" x14ac:dyDescent="0.25">
      <c r="A235" s="4"/>
      <c r="B235" s="4"/>
      <c r="C235" s="4"/>
    </row>
    <row r="236" spans="1:3" ht="12" customHeight="1" x14ac:dyDescent="0.25">
      <c r="A236" s="20" t="s">
        <v>46</v>
      </c>
      <c r="B236" s="4"/>
      <c r="C236" s="4"/>
    </row>
    <row r="237" spans="1:3" ht="12" customHeight="1" x14ac:dyDescent="0.25">
      <c r="A237" s="9"/>
      <c r="B237" s="4"/>
      <c r="C237" s="4"/>
    </row>
    <row r="238" spans="1:3" ht="12" customHeight="1" x14ac:dyDescent="0.25">
      <c r="A238" s="20" t="s">
        <v>47</v>
      </c>
      <c r="B238" s="4"/>
      <c r="C238" s="4"/>
    </row>
    <row r="239" spans="1:3" ht="12" customHeight="1" x14ac:dyDescent="0.25">
      <c r="A239" s="20" t="s">
        <v>72</v>
      </c>
      <c r="B239" s="4"/>
      <c r="C239" s="4"/>
    </row>
    <row r="240" spans="1:3" ht="12" customHeight="1" x14ac:dyDescent="0.25">
      <c r="A240" s="20" t="s">
        <v>73</v>
      </c>
      <c r="B240" s="4"/>
      <c r="C240" s="4"/>
    </row>
    <row r="241" spans="1:3" ht="12" customHeight="1" x14ac:dyDescent="0.25">
      <c r="A241" s="4"/>
      <c r="B241" s="4"/>
      <c r="C241" s="4"/>
    </row>
    <row r="242" spans="1:3" ht="12" customHeight="1" x14ac:dyDescent="0.25">
      <c r="A242" s="4"/>
      <c r="B242" s="4"/>
      <c r="C242" s="4"/>
    </row>
    <row r="243" spans="1:3" ht="12" customHeight="1" x14ac:dyDescent="0.25">
      <c r="A243" s="3" t="s">
        <v>74</v>
      </c>
      <c r="B243" s="4"/>
      <c r="C243" s="4"/>
    </row>
    <row r="244" spans="1:3" ht="12" customHeight="1" x14ac:dyDescent="0.25">
      <c r="A244" s="5" t="str">
        <f>REPLACE("in SCGA's statement of financial position as of December 31, 1990, in ",62,4,FIXED(Calculations!B9,0,TRUE))</f>
        <v xml:space="preserve">in SCGA's statement of financial position as of December 31, 2016, in </v>
      </c>
      <c r="B244" s="4"/>
      <c r="C244" s="4"/>
    </row>
    <row r="245" spans="1:3" ht="12" customHeight="1" x14ac:dyDescent="0.25">
      <c r="A245" s="3" t="s">
        <v>75</v>
      </c>
      <c r="B245" s="4"/>
      <c r="C245" s="4"/>
    </row>
    <row r="246" spans="1:3" ht="12" customHeight="1" x14ac:dyDescent="0.25">
      <c r="A246" s="4"/>
      <c r="B246" s="4"/>
      <c r="C246" s="25" t="str">
        <f>REPLACE(" 12/31/90",8,4,FIXED(Calculations!B9,0,TRUE))</f>
        <v xml:space="preserve"> 12/31/2016</v>
      </c>
    </row>
    <row r="247" spans="1:3" ht="12" customHeight="1" x14ac:dyDescent="0.25">
      <c r="A247" s="4"/>
      <c r="B247" s="4"/>
      <c r="C247" s="25" t="s">
        <v>76</v>
      </c>
    </row>
    <row r="248" spans="1:3" ht="12" customHeight="1" x14ac:dyDescent="0.25">
      <c r="A248" s="4"/>
      <c r="B248" s="4"/>
      <c r="C248" s="25" t="s">
        <v>36</v>
      </c>
    </row>
    <row r="249" spans="1:3" ht="12" customHeight="1" x14ac:dyDescent="0.25">
      <c r="A249" s="3" t="s">
        <v>77</v>
      </c>
      <c r="B249" s="4"/>
      <c r="C249" s="4"/>
    </row>
    <row r="250" spans="1:3" ht="12" customHeight="1" x14ac:dyDescent="0.25">
      <c r="A250" s="3" t="s">
        <v>78</v>
      </c>
      <c r="B250" s="4"/>
      <c r="C250" s="4"/>
    </row>
    <row r="251" spans="1:3" ht="12" customHeight="1" x14ac:dyDescent="0.25">
      <c r="A251" s="3" t="s">
        <v>79</v>
      </c>
      <c r="B251" s="4"/>
      <c r="C251" s="5">
        <f>ROUND('OPEVS results'!B22/1000,0)</f>
        <v>25584</v>
      </c>
    </row>
    <row r="252" spans="1:3" ht="12" customHeight="1" x14ac:dyDescent="0.25">
      <c r="A252" s="3" t="s">
        <v>80</v>
      </c>
      <c r="B252" s="4"/>
      <c r="C252" s="5">
        <f>ROUND('OPEVS results'!B21/1000,0)</f>
        <v>0</v>
      </c>
    </row>
    <row r="253" spans="1:3" ht="12" customHeight="1" x14ac:dyDescent="0.25">
      <c r="A253" s="3" t="s">
        <v>81</v>
      </c>
      <c r="B253" s="4"/>
      <c r="C253" s="5">
        <f>ROUND('OPEVS results'!B19/1000,0)</f>
        <v>4024</v>
      </c>
    </row>
    <row r="254" spans="1:3" ht="12" customHeight="1" x14ac:dyDescent="0.25">
      <c r="A254" s="3" t="s">
        <v>82</v>
      </c>
      <c r="B254" s="4"/>
      <c r="C254" s="5">
        <f>ROUND('OPEVS results'!B20/1000,0)</f>
        <v>2011</v>
      </c>
    </row>
    <row r="255" spans="1:3" ht="12" customHeight="1" x14ac:dyDescent="0.25">
      <c r="A255" s="3" t="s">
        <v>83</v>
      </c>
      <c r="B255" s="4"/>
      <c r="C255" s="5">
        <f>SUM(C251:C254)</f>
        <v>31619</v>
      </c>
    </row>
    <row r="256" spans="1:3" ht="12" customHeight="1" x14ac:dyDescent="0.25">
      <c r="A256" s="4"/>
      <c r="B256" s="4"/>
      <c r="C256" s="4"/>
    </row>
    <row r="257" spans="1:3" ht="12" customHeight="1" x14ac:dyDescent="0.25">
      <c r="A257" s="4"/>
      <c r="B257" s="4"/>
      <c r="C257" s="4"/>
    </row>
    <row r="258" spans="1:3" ht="12" customHeight="1" x14ac:dyDescent="0.25">
      <c r="A258" s="3" t="s">
        <v>84</v>
      </c>
      <c r="B258" s="4"/>
      <c r="C258" s="5">
        <f>C131</f>
        <v>0</v>
      </c>
    </row>
    <row r="259" spans="1:3" ht="12" customHeight="1" x14ac:dyDescent="0.25">
      <c r="A259" s="4"/>
      <c r="B259" s="4"/>
      <c r="C259" s="4"/>
    </row>
    <row r="260" spans="1:3" ht="12" customHeight="1" x14ac:dyDescent="0.25">
      <c r="A260" s="4"/>
      <c r="B260" s="4"/>
      <c r="C260" s="4"/>
    </row>
    <row r="261" spans="1:3" ht="12" customHeight="1" x14ac:dyDescent="0.25">
      <c r="A261" s="23" t="s">
        <v>85</v>
      </c>
      <c r="B261" s="4"/>
      <c r="C261" s="5">
        <f>C258-C255</f>
        <v>-31619</v>
      </c>
    </row>
    <row r="262" spans="1:3" ht="12" customHeight="1" x14ac:dyDescent="0.25">
      <c r="A262" s="3"/>
      <c r="B262" s="4"/>
    </row>
    <row r="263" spans="1:3" ht="12" customHeight="1" x14ac:dyDescent="0.25">
      <c r="B263" s="4"/>
      <c r="C263" s="4"/>
    </row>
    <row r="264" spans="1:3" ht="12" customHeight="1" x14ac:dyDescent="0.25">
      <c r="B264" s="4"/>
      <c r="C264" s="4"/>
    </row>
    <row r="265" spans="1:3" ht="12" customHeight="1" x14ac:dyDescent="0.25">
      <c r="B265" s="4"/>
      <c r="C265" s="5"/>
    </row>
    <row r="266" spans="1:3" ht="12" customHeight="1" x14ac:dyDescent="0.25">
      <c r="A266" s="34"/>
      <c r="B266" s="4"/>
      <c r="C266" s="4"/>
    </row>
    <row r="267" spans="1:3" ht="12" customHeight="1" x14ac:dyDescent="0.25">
      <c r="A267" s="34"/>
      <c r="B267" s="4"/>
      <c r="C267" s="4"/>
    </row>
    <row r="268" spans="1:3" ht="12" customHeight="1" x14ac:dyDescent="0.25">
      <c r="A268" s="3"/>
      <c r="B268" s="4"/>
      <c r="C268" s="5"/>
    </row>
    <row r="269" spans="1:3" ht="12" customHeight="1" x14ac:dyDescent="0.25">
      <c r="A269" s="4"/>
      <c r="B269" s="4"/>
      <c r="C269" s="4"/>
    </row>
    <row r="270" spans="1:3" ht="12" customHeight="1" x14ac:dyDescent="0.25">
      <c r="A270" s="4"/>
      <c r="B270" s="4"/>
      <c r="C270" s="4"/>
    </row>
    <row r="271" spans="1:3" ht="12" customHeight="1" x14ac:dyDescent="0.25">
      <c r="A271" s="3"/>
      <c r="B271" s="4"/>
      <c r="C271" s="5"/>
    </row>
    <row r="272" spans="1:3" ht="12" customHeight="1" x14ac:dyDescent="0.25">
      <c r="A272" s="4"/>
      <c r="B272" s="4"/>
      <c r="C272" s="4"/>
    </row>
    <row r="273" spans="1:3" ht="12" customHeight="1" x14ac:dyDescent="0.25">
      <c r="A273" s="3"/>
      <c r="B273" s="4"/>
      <c r="C273" s="4"/>
    </row>
    <row r="274" spans="1:3" ht="12" customHeight="1" x14ac:dyDescent="0.25">
      <c r="A274" s="3"/>
      <c r="B274" s="4"/>
      <c r="C274" s="4"/>
    </row>
    <row r="275" spans="1:3" ht="12" customHeight="1" x14ac:dyDescent="0.25">
      <c r="A275" s="3"/>
      <c r="B275" s="4"/>
      <c r="C275" s="5"/>
    </row>
    <row r="276" spans="1:3" ht="12" customHeight="1" x14ac:dyDescent="0.25">
      <c r="A276" s="4"/>
      <c r="B276" s="4"/>
      <c r="C276" s="4"/>
    </row>
    <row r="277" spans="1:3" ht="12" customHeight="1" x14ac:dyDescent="0.25">
      <c r="A277" s="4"/>
      <c r="B277" s="4"/>
      <c r="C277" s="4"/>
    </row>
    <row r="278" spans="1:3" ht="12" customHeight="1" x14ac:dyDescent="0.25">
      <c r="A278" s="4"/>
      <c r="B278" s="4"/>
      <c r="C278" s="4"/>
    </row>
    <row r="279" spans="1:3" ht="12" customHeight="1" x14ac:dyDescent="0.25">
      <c r="A279" s="4"/>
      <c r="B279" s="4"/>
      <c r="C279" s="4"/>
    </row>
    <row r="280" spans="1:3" ht="12" customHeight="1" x14ac:dyDescent="0.25">
      <c r="A280" s="4"/>
      <c r="B280" s="4"/>
      <c r="C280" s="4"/>
    </row>
    <row r="281" spans="1:3" ht="12" customHeight="1" x14ac:dyDescent="0.25">
      <c r="A281" s="4"/>
      <c r="B281" s="4"/>
      <c r="C281" s="4"/>
    </row>
    <row r="282" spans="1:3" ht="12" customHeight="1" x14ac:dyDescent="0.25">
      <c r="A282" s="4"/>
      <c r="B282" s="4"/>
      <c r="C282" s="4"/>
    </row>
    <row r="283" spans="1:3" ht="12" customHeight="1" x14ac:dyDescent="0.25">
      <c r="A283" s="20" t="s">
        <v>86</v>
      </c>
      <c r="B283" s="4"/>
      <c r="C283" s="4"/>
    </row>
    <row r="284" spans="1:3" ht="12" customHeight="1" x14ac:dyDescent="0.25">
      <c r="A284" s="3"/>
      <c r="B284" s="4"/>
      <c r="C284" s="4"/>
    </row>
    <row r="285" spans="1:3" ht="12" customHeight="1" x14ac:dyDescent="0.25">
      <c r="A285" s="18" t="s">
        <v>593</v>
      </c>
      <c r="B285" s="4"/>
      <c r="C285" s="4"/>
    </row>
    <row r="286" spans="1:3" ht="12" customHeight="1" x14ac:dyDescent="0.25">
      <c r="A286" s="4"/>
      <c r="B286" s="4"/>
      <c r="C286" s="4"/>
    </row>
    <row r="287" spans="1:3" ht="12" customHeight="1" x14ac:dyDescent="0.25">
      <c r="A287" s="18" t="s">
        <v>45</v>
      </c>
      <c r="B287" s="4"/>
      <c r="C287" s="4"/>
    </row>
    <row r="288" spans="1:3" ht="12" customHeight="1" x14ac:dyDescent="0.25">
      <c r="A288" s="18" t="str">
        <f>A232</f>
        <v xml:space="preserve">          DECEMBER 31, 2016</v>
      </c>
      <c r="B288" s="4"/>
      <c r="C288" s="4"/>
    </row>
    <row r="289" spans="1:3" ht="12" customHeight="1" x14ac:dyDescent="0.25">
      <c r="A289" s="5" t="str">
        <f>T(A$23)</f>
        <v/>
      </c>
      <c r="B289" s="4"/>
      <c r="C289" s="4"/>
    </row>
    <row r="290" spans="1:3" ht="12" customHeight="1" x14ac:dyDescent="0.25">
      <c r="A290" s="4"/>
      <c r="B290" s="4"/>
      <c r="C290" s="4"/>
    </row>
    <row r="291" spans="1:3" ht="12" customHeight="1" x14ac:dyDescent="0.25">
      <c r="A291" s="4"/>
      <c r="B291" s="4"/>
      <c r="C291" s="4"/>
    </row>
    <row r="292" spans="1:3" ht="12" customHeight="1" x14ac:dyDescent="0.25">
      <c r="A292" s="20" t="s">
        <v>87</v>
      </c>
      <c r="B292" s="4"/>
      <c r="C292" s="4"/>
    </row>
    <row r="293" spans="1:3" ht="12" customHeight="1" x14ac:dyDescent="0.25">
      <c r="A293" s="4"/>
      <c r="B293" s="4"/>
      <c r="C293" s="4"/>
    </row>
    <row r="294" spans="1:3" ht="12" customHeight="1" x14ac:dyDescent="0.25">
      <c r="A294" s="20" t="s">
        <v>47</v>
      </c>
      <c r="B294" s="4"/>
      <c r="C294" s="4"/>
    </row>
    <row r="295" spans="1:3" ht="12" customHeight="1" x14ac:dyDescent="0.25">
      <c r="A295" s="20" t="s">
        <v>88</v>
      </c>
      <c r="B295" s="4"/>
      <c r="C295" s="4"/>
    </row>
    <row r="296" spans="1:3" ht="12" customHeight="1" x14ac:dyDescent="0.25">
      <c r="A296" s="20" t="s">
        <v>89</v>
      </c>
      <c r="B296" s="4"/>
      <c r="C296" s="4"/>
    </row>
    <row r="297" spans="1:3" ht="12" customHeight="1" x14ac:dyDescent="0.25">
      <c r="A297" s="4"/>
      <c r="B297" s="4"/>
      <c r="C297" s="4"/>
    </row>
    <row r="298" spans="1:3" ht="12" customHeight="1" x14ac:dyDescent="0.25">
      <c r="A298" s="4"/>
      <c r="B298" s="4"/>
      <c r="C298" s="4"/>
    </row>
    <row r="299" spans="1:3" ht="12" customHeight="1" x14ac:dyDescent="0.25">
      <c r="A299" s="5" t="str">
        <f>REPLACE("Net periodic postretirement benefit cost for fiscal year ending December 31, 1990",78,4,FIXED(Calculations!B9,0,TRUE))</f>
        <v>Net periodic postretirement benefit cost for fiscal year ending December 31, 2016</v>
      </c>
      <c r="B299" s="4"/>
      <c r="C299" s="4"/>
    </row>
    <row r="300" spans="1:3" ht="12" customHeight="1" x14ac:dyDescent="0.25">
      <c r="A300" s="3" t="s">
        <v>90</v>
      </c>
      <c r="B300" s="4"/>
      <c r="C300" s="4"/>
    </row>
    <row r="301" spans="1:3" ht="12" customHeight="1" x14ac:dyDescent="0.25">
      <c r="A301" s="4"/>
      <c r="B301" s="4"/>
      <c r="C301" s="25" t="str">
        <f>REPLACE("  12/31/xxxx",9,4,FIXED(Calculations!B9,0,TRUE))</f>
        <v xml:space="preserve">  12/31/2016</v>
      </c>
    </row>
    <row r="302" spans="1:3" ht="12" customHeight="1" x14ac:dyDescent="0.25">
      <c r="A302" s="4"/>
      <c r="B302" s="4"/>
      <c r="C302" s="35" t="s">
        <v>91</v>
      </c>
    </row>
    <row r="303" spans="1:3" ht="12" customHeight="1" x14ac:dyDescent="0.25">
      <c r="A303" s="4"/>
      <c r="B303" s="4"/>
      <c r="C303" s="25" t="s">
        <v>92</v>
      </c>
    </row>
    <row r="304" spans="1:3" ht="12" customHeight="1" x14ac:dyDescent="0.25">
      <c r="A304" s="4"/>
      <c r="B304" s="4"/>
      <c r="C304" s="4"/>
    </row>
    <row r="305" spans="1:3" ht="12" customHeight="1" x14ac:dyDescent="0.25">
      <c r="A305" s="3" t="s">
        <v>93</v>
      </c>
      <c r="B305" s="4"/>
      <c r="C305" s="5">
        <f>C426</f>
        <v>369</v>
      </c>
    </row>
    <row r="306" spans="1:3" ht="12" customHeight="1" x14ac:dyDescent="0.25">
      <c r="A306" s="4"/>
      <c r="B306" s="4"/>
      <c r="C306" s="4"/>
    </row>
    <row r="307" spans="1:3" ht="12" customHeight="1" x14ac:dyDescent="0.25">
      <c r="A307" s="4"/>
      <c r="B307" s="4"/>
      <c r="C307" s="4"/>
    </row>
    <row r="308" spans="1:3" ht="12" customHeight="1" x14ac:dyDescent="0.25">
      <c r="A308" s="3" t="s">
        <v>94</v>
      </c>
      <c r="B308" s="4"/>
      <c r="C308" s="5">
        <f>C433</f>
        <v>1392</v>
      </c>
    </row>
    <row r="309" spans="1:3" ht="12" customHeight="1" x14ac:dyDescent="0.25">
      <c r="A309" s="4"/>
      <c r="B309" s="4"/>
      <c r="C309" s="4"/>
    </row>
    <row r="310" spans="1:3" ht="12" customHeight="1" x14ac:dyDescent="0.25">
      <c r="A310" s="4"/>
      <c r="B310" s="4"/>
      <c r="C310" s="4"/>
    </row>
    <row r="311" spans="1:3" ht="12" customHeight="1" x14ac:dyDescent="0.25">
      <c r="A311" s="3" t="s">
        <v>95</v>
      </c>
      <c r="B311" s="4"/>
      <c r="C311" s="4"/>
    </row>
    <row r="312" spans="1:3" ht="12" customHeight="1" x14ac:dyDescent="0.25">
      <c r="A312" s="3" t="s">
        <v>96</v>
      </c>
      <c r="B312" s="4"/>
      <c r="C312" s="5">
        <f>C442</f>
        <v>0</v>
      </c>
    </row>
    <row r="313" spans="1:3" ht="12" customHeight="1" x14ac:dyDescent="0.25">
      <c r="A313" s="3" t="s">
        <v>97</v>
      </c>
      <c r="B313" s="4"/>
      <c r="C313" s="5">
        <f>C321</f>
        <v>0</v>
      </c>
    </row>
    <row r="314" spans="1:3" ht="12" customHeight="1" x14ac:dyDescent="0.25">
      <c r="A314" s="3" t="s">
        <v>98</v>
      </c>
      <c r="B314" s="4"/>
      <c r="C314" s="5">
        <f>C312-C313</f>
        <v>0</v>
      </c>
    </row>
    <row r="315" spans="1:3" ht="12" customHeight="1" x14ac:dyDescent="0.25">
      <c r="A315" s="4"/>
      <c r="B315" s="4"/>
      <c r="C315" s="4"/>
    </row>
    <row r="316" spans="1:3" ht="12" customHeight="1" x14ac:dyDescent="0.25">
      <c r="A316" s="4"/>
      <c r="B316" s="4"/>
      <c r="C316" s="4"/>
    </row>
    <row r="317" spans="1:3" ht="12" customHeight="1" x14ac:dyDescent="0.25">
      <c r="A317" s="3" t="s">
        <v>99</v>
      </c>
      <c r="B317" s="4"/>
      <c r="C317" s="4"/>
    </row>
    <row r="318" spans="1:3" ht="12" customHeight="1" x14ac:dyDescent="0.25">
      <c r="A318" s="3" t="s">
        <v>100</v>
      </c>
      <c r="B318" s="4"/>
      <c r="C318" s="5">
        <f>C444</f>
        <v>0</v>
      </c>
    </row>
    <row r="319" spans="1:3" ht="12" customHeight="1" x14ac:dyDescent="0.25">
      <c r="A319" s="3" t="s">
        <v>101</v>
      </c>
      <c r="B319" s="4"/>
      <c r="C319" s="5">
        <f>C446</f>
        <v>-262</v>
      </c>
    </row>
    <row r="320" spans="1:3" ht="12" customHeight="1" x14ac:dyDescent="0.25">
      <c r="A320" s="3" t="s">
        <v>102</v>
      </c>
      <c r="B320" s="4"/>
      <c r="C320" s="5">
        <f>C448</f>
        <v>0</v>
      </c>
    </row>
    <row r="321" spans="1:3" ht="12" customHeight="1" x14ac:dyDescent="0.25">
      <c r="A321" s="3" t="s">
        <v>103</v>
      </c>
      <c r="B321" s="4"/>
      <c r="C321" s="5">
        <f>C450</f>
        <v>0</v>
      </c>
    </row>
    <row r="322" spans="1:3" ht="12" customHeight="1" x14ac:dyDescent="0.25">
      <c r="A322" s="3" t="s">
        <v>583</v>
      </c>
      <c r="B322" s="4"/>
      <c r="C322" s="5">
        <f>-C318+C319+C320-C321</f>
        <v>-262</v>
      </c>
    </row>
    <row r="323" spans="1:3" ht="12" customHeight="1" x14ac:dyDescent="0.25">
      <c r="A323" s="3"/>
      <c r="B323" s="4"/>
      <c r="C323" s="5"/>
    </row>
    <row r="324" spans="1:3" ht="12" customHeight="1" x14ac:dyDescent="0.25">
      <c r="A324" s="3"/>
      <c r="B324" s="4"/>
      <c r="C324" s="5"/>
    </row>
    <row r="325" spans="1:3" ht="12" customHeight="1" x14ac:dyDescent="0.25">
      <c r="A325" s="3" t="s">
        <v>104</v>
      </c>
      <c r="B325" s="4"/>
      <c r="C325" s="4"/>
    </row>
    <row r="326" spans="1:3" ht="12" customHeight="1" x14ac:dyDescent="0.25">
      <c r="A326" s="3" t="s">
        <v>372</v>
      </c>
      <c r="B326" s="4"/>
      <c r="C326" s="5">
        <f>C305+C308-C314+C322</f>
        <v>1499</v>
      </c>
    </row>
    <row r="327" spans="1:3" ht="12" customHeight="1" x14ac:dyDescent="0.25">
      <c r="A327" s="4"/>
      <c r="B327" s="4"/>
      <c r="C327" s="4"/>
    </row>
    <row r="328" spans="1:3" ht="12" customHeight="1" x14ac:dyDescent="0.25">
      <c r="A328" s="4"/>
      <c r="B328" s="4"/>
      <c r="C328" s="4"/>
    </row>
    <row r="329" spans="1:3" ht="12" customHeight="1" x14ac:dyDescent="0.25">
      <c r="A329" s="4"/>
      <c r="B329" s="4"/>
      <c r="C329" s="4"/>
    </row>
    <row r="330" spans="1:3" ht="12" customHeight="1" x14ac:dyDescent="0.25">
      <c r="A330" s="4"/>
      <c r="B330" s="4"/>
      <c r="C330" s="4"/>
    </row>
    <row r="331" spans="1:3" ht="12" customHeight="1" x14ac:dyDescent="0.25">
      <c r="A331" s="4"/>
      <c r="B331" s="4"/>
      <c r="C331" s="4"/>
    </row>
    <row r="332" spans="1:3" ht="12" customHeight="1" x14ac:dyDescent="0.25">
      <c r="A332" s="4"/>
      <c r="B332" s="4"/>
      <c r="C332" s="4"/>
    </row>
    <row r="333" spans="1:3" ht="12" customHeight="1" x14ac:dyDescent="0.25">
      <c r="A333" s="4"/>
      <c r="B333" s="4"/>
      <c r="C333" s="4"/>
    </row>
    <row r="334" spans="1:3" ht="12" customHeight="1" x14ac:dyDescent="0.25">
      <c r="A334" s="4"/>
      <c r="B334" s="4"/>
      <c r="C334" s="4"/>
    </row>
    <row r="335" spans="1:3" ht="12" customHeight="1" x14ac:dyDescent="0.25">
      <c r="A335" s="20" t="s">
        <v>105</v>
      </c>
      <c r="B335" s="4"/>
      <c r="C335" s="4"/>
    </row>
    <row r="336" spans="1:3" ht="12" customHeight="1" x14ac:dyDescent="0.25">
      <c r="A336" s="4"/>
      <c r="B336" s="4"/>
      <c r="C336" s="4"/>
    </row>
    <row r="337" spans="1:3" ht="12" customHeight="1" x14ac:dyDescent="0.25">
      <c r="A337" s="18" t="s">
        <v>593</v>
      </c>
      <c r="B337" s="4"/>
      <c r="C337" s="4"/>
    </row>
    <row r="338" spans="1:3" ht="12" customHeight="1" x14ac:dyDescent="0.25">
      <c r="A338" s="5"/>
      <c r="B338" s="4"/>
      <c r="C338" s="4"/>
    </row>
    <row r="339" spans="1:3" ht="12" customHeight="1" x14ac:dyDescent="0.25">
      <c r="A339" s="18" t="s">
        <v>45</v>
      </c>
      <c r="B339" s="4"/>
      <c r="C339" s="4"/>
    </row>
    <row r="340" spans="1:3" ht="12" customHeight="1" x14ac:dyDescent="0.25">
      <c r="A340" s="18" t="str">
        <f>A288</f>
        <v xml:space="preserve">          DECEMBER 31, 2016</v>
      </c>
      <c r="B340" s="4"/>
      <c r="C340" s="4"/>
    </row>
    <row r="341" spans="1:3" ht="12" customHeight="1" x14ac:dyDescent="0.25">
      <c r="A341" s="5"/>
      <c r="B341" s="4"/>
      <c r="C341" s="4"/>
    </row>
    <row r="342" spans="1:3" ht="12" customHeight="1" x14ac:dyDescent="0.25">
      <c r="A342" s="4"/>
      <c r="B342" s="4"/>
      <c r="C342" s="4"/>
    </row>
    <row r="343" spans="1:3" ht="12" customHeight="1" x14ac:dyDescent="0.25">
      <c r="A343" s="4"/>
      <c r="B343" s="4"/>
      <c r="C343" s="4"/>
    </row>
    <row r="344" spans="1:3" ht="12" customHeight="1" x14ac:dyDescent="0.25">
      <c r="A344" s="3" t="s">
        <v>46</v>
      </c>
      <c r="B344" s="4"/>
      <c r="C344" s="4"/>
    </row>
    <row r="345" spans="1:3" ht="12" customHeight="1" x14ac:dyDescent="0.25">
      <c r="A345" s="4"/>
      <c r="B345" s="4"/>
      <c r="C345" s="4"/>
    </row>
    <row r="346" spans="1:3" ht="12" customHeight="1" x14ac:dyDescent="0.25">
      <c r="A346" s="3" t="s">
        <v>106</v>
      </c>
      <c r="B346" s="4"/>
      <c r="C346" s="4"/>
    </row>
    <row r="347" spans="1:3" ht="12" customHeight="1" x14ac:dyDescent="0.25">
      <c r="A347" s="3" t="s">
        <v>107</v>
      </c>
      <c r="B347" s="4"/>
      <c r="C347" s="4"/>
    </row>
    <row r="348" spans="1:3" ht="12" customHeight="1" x14ac:dyDescent="0.25">
      <c r="A348" s="3" t="s">
        <v>73</v>
      </c>
      <c r="B348" s="4"/>
      <c r="C348" s="4"/>
    </row>
    <row r="349" spans="1:3" ht="12" customHeight="1" x14ac:dyDescent="0.25">
      <c r="A349" s="4"/>
      <c r="B349" s="4"/>
      <c r="C349" s="4"/>
    </row>
    <row r="350" spans="1:3" ht="12" customHeight="1" x14ac:dyDescent="0.25">
      <c r="A350" s="4"/>
      <c r="B350" s="4"/>
      <c r="C350" s="4"/>
    </row>
    <row r="351" spans="1:3" ht="12" customHeight="1" x14ac:dyDescent="0.25">
      <c r="A351" s="5" t="s">
        <v>108</v>
      </c>
      <c r="B351" s="4"/>
      <c r="C351" s="4"/>
    </row>
    <row r="352" spans="1:3" ht="12" customHeight="1" x14ac:dyDescent="0.25">
      <c r="A352" s="23" t="s">
        <v>109</v>
      </c>
      <c r="B352" s="4"/>
      <c r="C352" s="4"/>
    </row>
    <row r="353" spans="1:3" ht="12" customHeight="1" x14ac:dyDescent="0.25">
      <c r="A353" s="23"/>
      <c r="B353" s="4"/>
      <c r="C353" s="4"/>
    </row>
    <row r="354" spans="1:3" ht="12" customHeight="1" x14ac:dyDescent="0.25">
      <c r="A354" s="23"/>
      <c r="B354" s="4"/>
      <c r="C354" s="4"/>
    </row>
    <row r="355" spans="1:3" ht="12" customHeight="1" x14ac:dyDescent="0.25">
      <c r="A355" s="23"/>
      <c r="B355" s="4"/>
      <c r="C355" s="4"/>
    </row>
    <row r="356" spans="1:3" ht="12" customHeight="1" x14ac:dyDescent="0.25">
      <c r="A356" s="23"/>
      <c r="B356" s="4"/>
      <c r="C356" s="4"/>
    </row>
    <row r="357" spans="1:3" ht="12" customHeight="1" x14ac:dyDescent="0.25">
      <c r="A357" s="23"/>
      <c r="B357" s="4"/>
      <c r="C357" s="4"/>
    </row>
    <row r="358" spans="1:3" ht="12" customHeight="1" x14ac:dyDescent="0.25">
      <c r="A358" s="36" t="s">
        <v>110</v>
      </c>
      <c r="B358" s="6" t="s">
        <v>111</v>
      </c>
      <c r="C358" s="4"/>
    </row>
    <row r="359" spans="1:3" ht="12" customHeight="1" x14ac:dyDescent="0.25">
      <c r="A359" s="36" t="s">
        <v>112</v>
      </c>
      <c r="B359" s="22" t="s">
        <v>113</v>
      </c>
      <c r="C359" s="4"/>
    </row>
    <row r="360" spans="1:3" ht="12" customHeight="1" x14ac:dyDescent="0.25">
      <c r="A360" s="35" t="s">
        <v>114</v>
      </c>
      <c r="B360" s="22" t="s">
        <v>115</v>
      </c>
      <c r="C360" s="4"/>
    </row>
    <row r="361" spans="1:3" ht="12" customHeight="1" x14ac:dyDescent="0.25">
      <c r="A361" s="36"/>
      <c r="B361" s="4"/>
      <c r="C361" s="4"/>
    </row>
    <row r="362" spans="1:3" ht="12" customHeight="1" x14ac:dyDescent="0.25">
      <c r="A362" s="37">
        <f>Calculations!B9+1</f>
        <v>2017</v>
      </c>
      <c r="B362" s="38">
        <f>ROUND('OPEVS results'!J18/1000,0)</f>
        <v>1387</v>
      </c>
      <c r="C362" s="4"/>
    </row>
    <row r="363" spans="1:3" ht="12" customHeight="1" x14ac:dyDescent="0.25">
      <c r="A363" s="39"/>
      <c r="B363" s="40"/>
      <c r="C363" s="4"/>
    </row>
    <row r="364" spans="1:3" ht="12" customHeight="1" x14ac:dyDescent="0.25">
      <c r="A364" s="37">
        <f>A362+1</f>
        <v>2018</v>
      </c>
      <c r="B364" s="38">
        <f>ROUND('OPEVS results'!J19/1000,0)</f>
        <v>1445</v>
      </c>
      <c r="C364" s="4"/>
    </row>
    <row r="365" spans="1:3" ht="12" customHeight="1" x14ac:dyDescent="0.25">
      <c r="A365" s="41"/>
      <c r="B365" s="42"/>
      <c r="C365" s="4"/>
    </row>
    <row r="366" spans="1:3" ht="12" customHeight="1" x14ac:dyDescent="0.25">
      <c r="A366" s="37">
        <f>A364+1</f>
        <v>2019</v>
      </c>
      <c r="B366" s="38">
        <f>ROUND('OPEVS results'!J20/1000,0)</f>
        <v>1502</v>
      </c>
      <c r="C366" s="4"/>
    </row>
    <row r="367" spans="1:3" ht="12" customHeight="1" x14ac:dyDescent="0.25">
      <c r="A367" s="41"/>
      <c r="B367" s="42"/>
      <c r="C367" s="4"/>
    </row>
    <row r="368" spans="1:3" ht="12" customHeight="1" x14ac:dyDescent="0.25">
      <c r="A368" s="37">
        <f>A366+1</f>
        <v>2020</v>
      </c>
      <c r="B368" s="38">
        <f>ROUND('OPEVS results'!J21/1000,0)</f>
        <v>1549</v>
      </c>
      <c r="C368" s="4"/>
    </row>
    <row r="369" spans="1:3" ht="12" customHeight="1" x14ac:dyDescent="0.25">
      <c r="A369" s="41"/>
      <c r="B369" s="42"/>
      <c r="C369" s="4"/>
    </row>
    <row r="370" spans="1:3" ht="12" customHeight="1" x14ac:dyDescent="0.25">
      <c r="A370" s="37">
        <f>A368+1</f>
        <v>2021</v>
      </c>
      <c r="B370" s="38">
        <f>ROUND('OPEVS results'!J22/1000,0)</f>
        <v>1610</v>
      </c>
      <c r="C370" s="4"/>
    </row>
    <row r="371" spans="1:3" ht="12" customHeight="1" x14ac:dyDescent="0.25">
      <c r="A371" s="43"/>
      <c r="B371" s="42"/>
      <c r="C371" s="4"/>
    </row>
    <row r="372" spans="1:3" ht="12" customHeight="1" x14ac:dyDescent="0.25">
      <c r="A372" s="37" t="str">
        <f>A370+1&amp;"-"&amp;A370+5</f>
        <v>2022-2026</v>
      </c>
      <c r="B372" s="38">
        <f>ROUND('OPEVS results'!J29/1000,0)</f>
        <v>8509</v>
      </c>
      <c r="C372" s="4"/>
    </row>
    <row r="373" spans="1:3" ht="12" customHeight="1" x14ac:dyDescent="0.25">
      <c r="A373" s="4"/>
      <c r="B373" s="44"/>
      <c r="C373" s="4"/>
    </row>
    <row r="374" spans="1:3" ht="12" customHeight="1" x14ac:dyDescent="0.25">
      <c r="A374" s="6" t="s">
        <v>116</v>
      </c>
      <c r="B374" s="38">
        <f>SUM(B362:B372)</f>
        <v>16002</v>
      </c>
      <c r="C374" s="4"/>
    </row>
    <row r="375" spans="1:3" ht="12" customHeight="1" x14ac:dyDescent="0.25">
      <c r="A375" s="3"/>
      <c r="B375" s="4"/>
      <c r="C375" s="5"/>
    </row>
    <row r="376" spans="1:3" ht="12" customHeight="1" x14ac:dyDescent="0.25">
      <c r="A376" s="3"/>
      <c r="B376" s="4"/>
      <c r="C376" s="5"/>
    </row>
    <row r="377" spans="1:3" ht="12" customHeight="1" x14ac:dyDescent="0.25">
      <c r="A377" s="3"/>
      <c r="B377" s="4"/>
      <c r="C377" s="5"/>
    </row>
    <row r="378" spans="1:3" ht="12" customHeight="1" x14ac:dyDescent="0.25">
      <c r="A378" s="3"/>
      <c r="B378" s="4"/>
      <c r="C378" s="5"/>
    </row>
    <row r="379" spans="1:3" ht="12" customHeight="1" x14ac:dyDescent="0.25">
      <c r="A379" s="3"/>
      <c r="B379" s="4"/>
      <c r="C379" s="5"/>
    </row>
    <row r="380" spans="1:3" ht="12" customHeight="1" x14ac:dyDescent="0.25">
      <c r="A380" s="4"/>
      <c r="B380" s="4"/>
      <c r="C380" s="4"/>
    </row>
    <row r="381" spans="1:3" ht="12" customHeight="1" x14ac:dyDescent="0.25">
      <c r="A381" s="4"/>
      <c r="B381" s="4"/>
      <c r="C381" s="4"/>
    </row>
    <row r="382" spans="1:3" ht="12" customHeight="1" x14ac:dyDescent="0.25">
      <c r="A382" s="4"/>
      <c r="B382" s="4"/>
      <c r="C382" s="4"/>
    </row>
    <row r="383" spans="1:3" ht="12" customHeight="1" x14ac:dyDescent="0.25">
      <c r="A383" s="4"/>
      <c r="B383" s="4"/>
      <c r="C383" s="4"/>
    </row>
    <row r="384" spans="1:3" ht="12" customHeight="1" x14ac:dyDescent="0.25">
      <c r="A384" s="4"/>
      <c r="B384" s="4"/>
      <c r="C384" s="4"/>
    </row>
    <row r="385" spans="1:3" ht="12" customHeight="1" x14ac:dyDescent="0.25">
      <c r="A385" s="4"/>
      <c r="B385" s="4"/>
      <c r="C385" s="4"/>
    </row>
    <row r="386" spans="1:3" ht="12" customHeight="1" x14ac:dyDescent="0.25">
      <c r="A386" s="4"/>
      <c r="B386" s="4"/>
      <c r="C386" s="4"/>
    </row>
    <row r="387" spans="1:3" ht="12" customHeight="1" x14ac:dyDescent="0.25">
      <c r="A387" s="4"/>
      <c r="B387" s="4"/>
      <c r="C387" s="4"/>
    </row>
    <row r="388" spans="1:3" ht="12" customHeight="1" x14ac:dyDescent="0.25">
      <c r="A388" s="3"/>
      <c r="B388" s="4"/>
      <c r="C388" s="4"/>
    </row>
    <row r="389" spans="1:3" ht="12" customHeight="1" x14ac:dyDescent="0.25">
      <c r="A389" s="3"/>
      <c r="B389" s="4"/>
      <c r="C389" s="4"/>
    </row>
    <row r="390" spans="1:3" ht="12" customHeight="1" x14ac:dyDescent="0.25">
      <c r="A390" s="3"/>
      <c r="B390" s="4"/>
      <c r="C390" s="4"/>
    </row>
    <row r="391" spans="1:3" ht="12" customHeight="1" x14ac:dyDescent="0.25">
      <c r="A391" s="3"/>
      <c r="B391" s="4"/>
      <c r="C391" s="4"/>
    </row>
    <row r="392" spans="1:3" ht="12" customHeight="1" x14ac:dyDescent="0.25">
      <c r="A392" s="3"/>
      <c r="B392" s="4"/>
      <c r="C392" s="4"/>
    </row>
    <row r="393" spans="1:3" ht="12" customHeight="1" x14ac:dyDescent="0.25">
      <c r="A393" s="3"/>
      <c r="B393" s="4"/>
      <c r="C393" s="4"/>
    </row>
    <row r="394" spans="1:3" ht="12" customHeight="1" x14ac:dyDescent="0.25">
      <c r="A394" s="3"/>
      <c r="B394" s="4"/>
      <c r="C394" s="4"/>
    </row>
    <row r="395" spans="1:3" ht="12" customHeight="1" x14ac:dyDescent="0.25">
      <c r="A395" s="3"/>
      <c r="B395" s="4"/>
      <c r="C395" s="4"/>
    </row>
    <row r="396" spans="1:3" ht="12" customHeight="1" x14ac:dyDescent="0.25">
      <c r="A396" s="3" t="s">
        <v>117</v>
      </c>
      <c r="B396" s="4"/>
      <c r="C396" s="4"/>
    </row>
    <row r="397" spans="1:3" ht="12" customHeight="1" x14ac:dyDescent="0.25">
      <c r="A397" s="18" t="s">
        <v>593</v>
      </c>
      <c r="B397" s="4"/>
      <c r="C397" s="4"/>
    </row>
    <row r="398" spans="1:3" ht="12" customHeight="1" x14ac:dyDescent="0.25">
      <c r="A398" s="4"/>
      <c r="B398" s="4"/>
      <c r="C398" s="4"/>
    </row>
    <row r="399" spans="1:3" ht="12" customHeight="1" x14ac:dyDescent="0.25">
      <c r="A399" s="18" t="s">
        <v>45</v>
      </c>
      <c r="B399" s="4"/>
      <c r="C399" s="4"/>
    </row>
    <row r="400" spans="1:3" ht="12" customHeight="1" x14ac:dyDescent="0.25">
      <c r="A400" s="18" t="str">
        <f>A340</f>
        <v xml:space="preserve">          DECEMBER 31, 2016</v>
      </c>
      <c r="B400" s="4"/>
      <c r="C400" s="4"/>
    </row>
    <row r="401" spans="1:3" ht="12" customHeight="1" x14ac:dyDescent="0.25">
      <c r="A401" s="5" t="str">
        <f>T(A$23)</f>
        <v/>
      </c>
      <c r="B401" s="4"/>
      <c r="C401" s="4"/>
    </row>
    <row r="402" spans="1:3" ht="12" customHeight="1" x14ac:dyDescent="0.25">
      <c r="A402" s="4"/>
      <c r="B402" s="4"/>
      <c r="C402" s="4"/>
    </row>
    <row r="403" spans="1:3" ht="12" customHeight="1" x14ac:dyDescent="0.25">
      <c r="A403" s="20" t="s">
        <v>118</v>
      </c>
      <c r="B403" s="4"/>
      <c r="C403" s="4"/>
    </row>
    <row r="404" spans="1:3" ht="12" customHeight="1" x14ac:dyDescent="0.25">
      <c r="A404" s="4"/>
      <c r="B404" s="4"/>
      <c r="C404" s="4"/>
    </row>
    <row r="405" spans="1:3" ht="12" customHeight="1" x14ac:dyDescent="0.25">
      <c r="A405" s="20" t="s">
        <v>119</v>
      </c>
      <c r="B405" s="4"/>
      <c r="C405" s="4"/>
    </row>
    <row r="406" spans="1:3" ht="12" customHeight="1" x14ac:dyDescent="0.25">
      <c r="A406" s="20" t="str">
        <f>REPLACE("                      FOR FISCAL YEAR ENDING DECEMBER 31, 1990",59,4,FIXED(Calculations!B9,0,TRUE))</f>
        <v xml:space="preserve">                      FOR FISCAL YEAR ENDING DECEMBER 31, 2016</v>
      </c>
      <c r="B406" s="4"/>
      <c r="C406" s="4"/>
    </row>
    <row r="407" spans="1:3" ht="12" customHeight="1" x14ac:dyDescent="0.25">
      <c r="A407" s="20" t="s">
        <v>120</v>
      </c>
      <c r="B407" s="4"/>
      <c r="C407" s="4"/>
    </row>
    <row r="408" spans="1:3" ht="12" customHeight="1" x14ac:dyDescent="0.25">
      <c r="A408" s="4"/>
      <c r="B408" s="4"/>
      <c r="C408" s="4"/>
    </row>
    <row r="409" spans="1:3" ht="12" customHeight="1" x14ac:dyDescent="0.25">
      <c r="A409" s="3" t="s">
        <v>121</v>
      </c>
      <c r="B409" s="4"/>
      <c r="C409" s="4"/>
    </row>
    <row r="410" spans="1:3" ht="12" customHeight="1" x14ac:dyDescent="0.25">
      <c r="A410" s="3" t="s">
        <v>122</v>
      </c>
      <c r="B410" s="4"/>
      <c r="C410" s="4"/>
    </row>
    <row r="411" spans="1:3" ht="12" customHeight="1" x14ac:dyDescent="0.25">
      <c r="A411" s="3" t="s">
        <v>123</v>
      </c>
      <c r="B411" s="4"/>
      <c r="C411" s="4"/>
    </row>
    <row r="412" spans="1:3" ht="12" customHeight="1" x14ac:dyDescent="0.25">
      <c r="A412" s="3" t="s">
        <v>601</v>
      </c>
      <c r="B412" s="4"/>
      <c r="C412" s="4"/>
    </row>
    <row r="413" spans="1:3" ht="12" customHeight="1" x14ac:dyDescent="0.25">
      <c r="A413" s="3" t="s">
        <v>124</v>
      </c>
      <c r="B413" s="4"/>
      <c r="C413" s="4"/>
    </row>
    <row r="414" spans="1:3" ht="12" customHeight="1" x14ac:dyDescent="0.25">
      <c r="A414" s="5" t="str">
        <f>REPLACE("Section III shows the development of the 1990 postretirement benefit cost based on",42,4,FIXED(Calculations!B9,0,TRUE))</f>
        <v>Section III shows the development of the 2016 postretirement benefit cost based on</v>
      </c>
      <c r="B414" s="4"/>
      <c r="C414" s="4"/>
    </row>
    <row r="415" spans="1:3" ht="12" customHeight="1" x14ac:dyDescent="0.25">
      <c r="A415" s="3" t="s">
        <v>125</v>
      </c>
      <c r="B415" s="4"/>
      <c r="C415" s="4"/>
    </row>
    <row r="416" spans="1:3" ht="12" customHeight="1" x14ac:dyDescent="0.25">
      <c r="A416" s="3" t="s">
        <v>126</v>
      </c>
      <c r="B416" s="4"/>
      <c r="C416" s="4"/>
    </row>
    <row r="417" spans="1:3" ht="12" customHeight="1" x14ac:dyDescent="0.25">
      <c r="A417" s="3" t="s">
        <v>127</v>
      </c>
      <c r="B417" s="4"/>
      <c r="C417" s="4"/>
    </row>
    <row r="418" spans="1:3" ht="12" customHeight="1" x14ac:dyDescent="0.25">
      <c r="A418" s="3" t="s">
        <v>128</v>
      </c>
      <c r="B418" s="4"/>
      <c r="C418" s="4"/>
    </row>
    <row r="419" spans="1:3" ht="12" customHeight="1" x14ac:dyDescent="0.25">
      <c r="A419" s="4"/>
      <c r="B419" s="4"/>
      <c r="C419" s="25" t="str">
        <f>REPLACE("   1/01/89",9,4,FIXED(Calculations!B9,0,TRUE))</f>
        <v xml:space="preserve">   1/01/2016</v>
      </c>
    </row>
    <row r="420" spans="1:3" ht="12" customHeight="1" x14ac:dyDescent="0.25">
      <c r="A420" s="3" t="s">
        <v>129</v>
      </c>
      <c r="B420" s="4"/>
      <c r="C420" s="35" t="s">
        <v>91</v>
      </c>
    </row>
    <row r="421" spans="1:3" ht="12" customHeight="1" x14ac:dyDescent="0.25">
      <c r="A421" s="3" t="s">
        <v>130</v>
      </c>
      <c r="B421" s="4"/>
      <c r="C421" s="4"/>
    </row>
    <row r="422" spans="1:3" ht="12" customHeight="1" x14ac:dyDescent="0.25">
      <c r="A422" s="4"/>
      <c r="B422" s="4"/>
      <c r="C422" s="25" t="s">
        <v>92</v>
      </c>
    </row>
    <row r="423" spans="1:3" ht="12" customHeight="1" x14ac:dyDescent="0.25">
      <c r="A423" s="3" t="s">
        <v>131</v>
      </c>
      <c r="B423" s="4"/>
      <c r="C423" s="4"/>
    </row>
    <row r="424" spans="1:3" ht="12" customHeight="1" x14ac:dyDescent="0.25">
      <c r="A424" s="3" t="s">
        <v>132</v>
      </c>
      <c r="B424" s="4"/>
      <c r="C424" s="5">
        <f>ROUND('OPEVS results'!C9/1000,0)</f>
        <v>354</v>
      </c>
    </row>
    <row r="425" spans="1:3" ht="12" customHeight="1" x14ac:dyDescent="0.25">
      <c r="A425" s="3" t="s">
        <v>133</v>
      </c>
      <c r="B425" s="4"/>
      <c r="C425" s="5">
        <f>ROUND(C424*Calculations!B13,0)</f>
        <v>15</v>
      </c>
    </row>
    <row r="426" spans="1:3" ht="12" customHeight="1" x14ac:dyDescent="0.25">
      <c r="A426" s="3" t="s">
        <v>134</v>
      </c>
      <c r="B426" s="4"/>
      <c r="C426" s="5">
        <f>C424+C425</f>
        <v>369</v>
      </c>
    </row>
    <row r="427" spans="1:3" ht="12" customHeight="1" x14ac:dyDescent="0.25">
      <c r="A427" s="4"/>
      <c r="B427" s="4"/>
      <c r="C427" s="4"/>
    </row>
    <row r="428" spans="1:3" ht="12" customHeight="1" x14ac:dyDescent="0.25">
      <c r="A428" s="3" t="s">
        <v>135</v>
      </c>
      <c r="B428" s="4"/>
      <c r="C428" s="4"/>
    </row>
    <row r="429" spans="1:3" ht="12" customHeight="1" x14ac:dyDescent="0.25">
      <c r="A429" s="3" t="s">
        <v>136</v>
      </c>
      <c r="B429" s="4"/>
      <c r="C429" s="5">
        <f>ROUND('OPEVS results'!B9/1000,0)</f>
        <v>34723</v>
      </c>
    </row>
    <row r="430" spans="1:3" ht="12" customHeight="1" x14ac:dyDescent="0.25">
      <c r="A430" s="3" t="s">
        <v>137</v>
      </c>
      <c r="B430" s="4"/>
      <c r="C430" s="5">
        <f>ROUND(Calculations!B24/2,0)</f>
        <v>776</v>
      </c>
    </row>
    <row r="431" spans="1:3" ht="12" customHeight="1" x14ac:dyDescent="0.25">
      <c r="A431" s="3" t="s">
        <v>138</v>
      </c>
      <c r="B431" s="4"/>
      <c r="C431" s="5">
        <f>C429-C430</f>
        <v>33947</v>
      </c>
    </row>
    <row r="432" spans="1:3" ht="12" customHeight="1" x14ac:dyDescent="0.25">
      <c r="A432" s="3" t="s">
        <v>139</v>
      </c>
      <c r="B432" s="4"/>
      <c r="C432" s="45">
        <f>Calculations!B13</f>
        <v>4.1000000000000002E-2</v>
      </c>
    </row>
    <row r="433" spans="1:3" ht="12" customHeight="1" x14ac:dyDescent="0.25">
      <c r="A433" s="3" t="s">
        <v>140</v>
      </c>
      <c r="B433" s="4"/>
      <c r="C433" s="5">
        <f>ROUND(C431*C432,0)</f>
        <v>1392</v>
      </c>
    </row>
    <row r="434" spans="1:3" ht="12" customHeight="1" x14ac:dyDescent="0.25">
      <c r="A434" s="4"/>
      <c r="B434" s="4"/>
      <c r="C434" s="4"/>
    </row>
    <row r="435" spans="1:3" ht="12" customHeight="1" x14ac:dyDescent="0.25">
      <c r="A435" s="3" t="s">
        <v>141</v>
      </c>
      <c r="B435" s="4"/>
      <c r="C435" s="4"/>
    </row>
    <row r="436" spans="1:3" ht="12" customHeight="1" x14ac:dyDescent="0.25">
      <c r="A436" s="3" t="s">
        <v>142</v>
      </c>
      <c r="B436" s="4"/>
      <c r="C436" s="5">
        <f>Calculations!B25</f>
        <v>0</v>
      </c>
    </row>
    <row r="437" spans="1:3" ht="12" customHeight="1" x14ac:dyDescent="0.25">
      <c r="A437" s="3" t="s">
        <v>137</v>
      </c>
      <c r="B437" s="4"/>
      <c r="C437" s="5">
        <f>C430</f>
        <v>776</v>
      </c>
    </row>
    <row r="438" spans="1:3" ht="12" customHeight="1" x14ac:dyDescent="0.25">
      <c r="A438" s="3" t="s">
        <v>143</v>
      </c>
      <c r="B438" s="4"/>
      <c r="C438" s="5">
        <f>Calculations!B31/2</f>
        <v>0</v>
      </c>
    </row>
    <row r="439" spans="1:3" ht="12" customHeight="1" x14ac:dyDescent="0.25">
      <c r="A439" s="3" t="s">
        <v>144</v>
      </c>
      <c r="B439" s="4"/>
      <c r="C439" s="5">
        <f>C437</f>
        <v>776</v>
      </c>
    </row>
    <row r="440" spans="1:3" ht="12" customHeight="1" x14ac:dyDescent="0.25">
      <c r="A440" s="3" t="s">
        <v>145</v>
      </c>
      <c r="B440" s="4"/>
      <c r="C440" s="5">
        <f>C436-C437-C438+C439</f>
        <v>0</v>
      </c>
    </row>
    <row r="441" spans="1:3" ht="12" customHeight="1" x14ac:dyDescent="0.25">
      <c r="A441" s="3" t="s">
        <v>146</v>
      </c>
      <c r="B441" s="4"/>
      <c r="C441" s="45">
        <f>Calculations!B14</f>
        <v>7.4999999999999997E-2</v>
      </c>
    </row>
    <row r="442" spans="1:3" ht="12" customHeight="1" x14ac:dyDescent="0.25">
      <c r="A442" s="3" t="s">
        <v>147</v>
      </c>
      <c r="B442" s="4"/>
      <c r="C442" s="5">
        <f>C440*C441</f>
        <v>0</v>
      </c>
    </row>
    <row r="443" spans="1:3" ht="12" customHeight="1" x14ac:dyDescent="0.25">
      <c r="A443" s="4"/>
      <c r="B443" s="4"/>
      <c r="C443" s="4"/>
    </row>
    <row r="444" spans="1:3" ht="12" customHeight="1" x14ac:dyDescent="0.25">
      <c r="A444" s="3" t="s">
        <v>148</v>
      </c>
      <c r="B444" s="4"/>
      <c r="C444" s="5">
        <v>0</v>
      </c>
    </row>
    <row r="445" spans="1:3" ht="12" customHeight="1" x14ac:dyDescent="0.25">
      <c r="A445" s="4"/>
      <c r="B445" s="4"/>
      <c r="C445" s="4"/>
    </row>
    <row r="446" spans="1:3" ht="12" customHeight="1" x14ac:dyDescent="0.25">
      <c r="A446" s="3" t="s">
        <v>149</v>
      </c>
      <c r="B446" s="4"/>
      <c r="C446" s="5">
        <f>Calculations!E13</f>
        <v>-262</v>
      </c>
    </row>
    <row r="447" spans="1:3" ht="12" customHeight="1" x14ac:dyDescent="0.25">
      <c r="A447" s="4"/>
      <c r="B447" s="4"/>
      <c r="C447" s="4"/>
    </row>
    <row r="448" spans="1:3" ht="12" customHeight="1" x14ac:dyDescent="0.25">
      <c r="A448" s="3" t="s">
        <v>150</v>
      </c>
      <c r="B448" s="4"/>
      <c r="C448" s="5">
        <f>Calculations!E21</f>
        <v>0</v>
      </c>
    </row>
    <row r="449" spans="1:3" ht="12" customHeight="1" x14ac:dyDescent="0.25">
      <c r="A449" s="3"/>
      <c r="B449" s="4"/>
      <c r="C449" s="5"/>
    </row>
    <row r="450" spans="1:3" ht="12" customHeight="1" x14ac:dyDescent="0.25">
      <c r="A450" s="5" t="str">
        <f>REPLACE("   8. Net Periodic Postretirement Benefit Cost (FY ending 12/31/xxxx)",65,4,FIXED(Calculations!B9,0,TRUE))</f>
        <v xml:space="preserve">   8. Net Periodic Postretirement Benefit Cost (FY ending 12/31/2016)</v>
      </c>
      <c r="B450" s="4"/>
      <c r="C450" s="4"/>
    </row>
    <row r="451" spans="1:3" ht="12" customHeight="1" x14ac:dyDescent="0.25">
      <c r="A451" s="3" t="s">
        <v>312</v>
      </c>
      <c r="B451" s="4"/>
      <c r="C451" s="5">
        <f>C448+C446+C442+C433+C426</f>
        <v>1499</v>
      </c>
    </row>
    <row r="452" spans="1:3" ht="12" customHeight="1" x14ac:dyDescent="0.25">
      <c r="A452" s="20" t="s">
        <v>151</v>
      </c>
      <c r="B452" s="4"/>
      <c r="C452" s="4"/>
    </row>
    <row r="453" spans="1:3" ht="12" customHeight="1" x14ac:dyDescent="0.25">
      <c r="A453" s="5" t="str">
        <f>T(A16)</f>
        <v>Sample County Government Agency</v>
      </c>
      <c r="B453" s="4"/>
      <c r="C453" s="4"/>
    </row>
    <row r="454" spans="1:3" ht="12" customHeight="1" x14ac:dyDescent="0.25">
      <c r="A454" s="4"/>
      <c r="B454" s="4"/>
      <c r="C454" s="4"/>
    </row>
    <row r="455" spans="1:3" ht="12" customHeight="1" x14ac:dyDescent="0.25">
      <c r="A455" s="18" t="s">
        <v>45</v>
      </c>
      <c r="B455" s="4"/>
      <c r="C455" s="4"/>
    </row>
    <row r="456" spans="1:3" ht="12" customHeight="1" x14ac:dyDescent="0.25">
      <c r="A456" s="18" t="str">
        <f>A400</f>
        <v xml:space="preserve">          DECEMBER 31, 2016</v>
      </c>
      <c r="B456" s="4"/>
      <c r="C456" s="4"/>
    </row>
    <row r="457" spans="1:3" ht="12" customHeight="1" x14ac:dyDescent="0.25">
      <c r="A457" s="5" t="str">
        <f>T(A$23)</f>
        <v/>
      </c>
      <c r="B457" s="4"/>
      <c r="C457" s="4"/>
    </row>
    <row r="458" spans="1:3" ht="12" customHeight="1" x14ac:dyDescent="0.25">
      <c r="A458" s="4"/>
      <c r="B458" s="4"/>
      <c r="C458" s="4"/>
    </row>
    <row r="459" spans="1:3" ht="12" customHeight="1" x14ac:dyDescent="0.25">
      <c r="A459" s="4"/>
      <c r="B459" s="4"/>
      <c r="C459" s="4"/>
    </row>
    <row r="460" spans="1:3" ht="12" customHeight="1" x14ac:dyDescent="0.25">
      <c r="A460" s="20" t="s">
        <v>152</v>
      </c>
      <c r="B460" s="4"/>
      <c r="C460" s="4"/>
    </row>
    <row r="461" spans="1:3" ht="12" customHeight="1" x14ac:dyDescent="0.25">
      <c r="A461" s="9"/>
      <c r="B461" s="4"/>
      <c r="C461" s="4"/>
    </row>
    <row r="462" spans="1:3" ht="12" customHeight="1" x14ac:dyDescent="0.25">
      <c r="A462" s="20" t="str">
        <f>T(A405)</f>
        <v xml:space="preserve">                DEVELOPMENT OF NET PERIODIC POSTRETIREMENT BENEFIT COST </v>
      </c>
      <c r="B462" s="4"/>
      <c r="C462" s="4"/>
    </row>
    <row r="463" spans="1:3" ht="12" customHeight="1" x14ac:dyDescent="0.25">
      <c r="A463" s="20" t="str">
        <f>T(A406)</f>
        <v xml:space="preserve">                      FOR FISCAL YEAR ENDING DECEMBER 31, 2016</v>
      </c>
      <c r="B463" s="4"/>
      <c r="C463" s="4"/>
    </row>
    <row r="464" spans="1:3" ht="12" customHeight="1" x14ac:dyDescent="0.25">
      <c r="A464" s="20" t="str">
        <f>T(A407)</f>
        <v xml:space="preserve">                      ------------------------------------</v>
      </c>
      <c r="B464" s="4"/>
      <c r="C464" s="4"/>
    </row>
    <row r="465" spans="1:3" ht="12" customHeight="1" x14ac:dyDescent="0.25">
      <c r="A465" s="20" t="s">
        <v>89</v>
      </c>
      <c r="B465" s="4"/>
      <c r="C465" s="4"/>
    </row>
    <row r="466" spans="1:3" ht="12" customHeight="1" x14ac:dyDescent="0.25">
      <c r="A466" s="4"/>
      <c r="B466" s="4"/>
      <c r="C466" s="4"/>
    </row>
    <row r="467" spans="1:3" ht="12" customHeight="1" x14ac:dyDescent="0.25">
      <c r="A467" s="3" t="s">
        <v>153</v>
      </c>
      <c r="B467" s="4"/>
      <c r="C467" s="4"/>
    </row>
    <row r="468" spans="1:3" ht="12" customHeight="1" x14ac:dyDescent="0.25">
      <c r="A468" s="3" t="s">
        <v>154</v>
      </c>
      <c r="B468" s="4"/>
      <c r="C468" s="25" t="s">
        <v>92</v>
      </c>
    </row>
    <row r="469" spans="1:3" ht="12" customHeight="1" x14ac:dyDescent="0.25">
      <c r="A469" s="4"/>
      <c r="B469" s="4"/>
      <c r="C469" s="4"/>
    </row>
    <row r="470" spans="1:3" ht="12" customHeight="1" x14ac:dyDescent="0.25">
      <c r="A470" s="3" t="s">
        <v>155</v>
      </c>
      <c r="B470" s="4"/>
      <c r="C470" s="4"/>
    </row>
    <row r="471" spans="1:3" ht="12" customHeight="1" x14ac:dyDescent="0.25">
      <c r="A471" s="3" t="s">
        <v>156</v>
      </c>
      <c r="B471" s="4"/>
      <c r="C471" s="4"/>
    </row>
    <row r="472" spans="1:3" ht="12" customHeight="1" x14ac:dyDescent="0.25">
      <c r="A472" s="3" t="s">
        <v>157</v>
      </c>
      <c r="B472" s="4"/>
      <c r="C472" s="5">
        <f>C426</f>
        <v>369</v>
      </c>
    </row>
    <row r="473" spans="1:3" ht="12" customHeight="1" x14ac:dyDescent="0.25">
      <c r="A473" s="4"/>
      <c r="B473" s="4"/>
      <c r="C473" s="4"/>
    </row>
    <row r="474" spans="1:3" ht="12" customHeight="1" x14ac:dyDescent="0.25">
      <c r="A474" s="3" t="s">
        <v>158</v>
      </c>
      <c r="B474" s="4"/>
      <c r="C474" s="5">
        <f>C433</f>
        <v>1392</v>
      </c>
    </row>
    <row r="475" spans="1:3" ht="12" customHeight="1" x14ac:dyDescent="0.25">
      <c r="A475" s="4"/>
      <c r="B475" s="4"/>
      <c r="C475" s="4"/>
    </row>
    <row r="476" spans="1:3" ht="12" customHeight="1" x14ac:dyDescent="0.25">
      <c r="A476" s="3" t="s">
        <v>159</v>
      </c>
      <c r="B476" s="4"/>
      <c r="C476" s="5">
        <f>C442</f>
        <v>0</v>
      </c>
    </row>
    <row r="477" spans="1:3" ht="12" customHeight="1" x14ac:dyDescent="0.25">
      <c r="A477" s="4"/>
      <c r="B477" s="4"/>
      <c r="C477" s="4"/>
    </row>
    <row r="478" spans="1:3" ht="12" customHeight="1" x14ac:dyDescent="0.25">
      <c r="A478" s="3" t="s">
        <v>160</v>
      </c>
      <c r="B478" s="4"/>
      <c r="C478" s="4"/>
    </row>
    <row r="479" spans="1:3" ht="12" customHeight="1" x14ac:dyDescent="0.25">
      <c r="A479" s="3" t="s">
        <v>371</v>
      </c>
      <c r="B479" s="4"/>
      <c r="C479" s="5">
        <f>C444+C446+C448</f>
        <v>-262</v>
      </c>
    </row>
    <row r="480" spans="1:3" ht="12" customHeight="1" x14ac:dyDescent="0.25">
      <c r="A480" s="4"/>
      <c r="B480" s="4"/>
      <c r="C480" s="4"/>
    </row>
    <row r="481" spans="1:3" ht="12" customHeight="1" x14ac:dyDescent="0.25">
      <c r="A481" s="5" t="str">
        <f>REPLACE("   5. Net periodic postretirement benefit cost (FY ending 12/31/xxxx)",65,4,FIXED(Calculations!B9,0,TRUE))</f>
        <v xml:space="preserve">   5. Net periodic postretirement benefit cost (FY ending 12/31/2016)</v>
      </c>
      <c r="B481" s="4"/>
      <c r="C481" s="5">
        <f>C472+C474+C476+C479</f>
        <v>1499</v>
      </c>
    </row>
    <row r="482" spans="1:3" ht="12" customHeight="1" x14ac:dyDescent="0.25">
      <c r="A482" s="3" t="s">
        <v>35</v>
      </c>
      <c r="B482" s="4"/>
      <c r="C482" s="4"/>
    </row>
    <row r="483" spans="1:3" ht="12" customHeight="1" x14ac:dyDescent="0.25">
      <c r="A483" s="4"/>
      <c r="B483" s="4"/>
      <c r="C483" s="4"/>
    </row>
    <row r="484" spans="1:3" ht="12" customHeight="1" x14ac:dyDescent="0.25">
      <c r="A484" s="3" t="s">
        <v>161</v>
      </c>
      <c r="B484" s="4"/>
      <c r="C484" s="4"/>
    </row>
    <row r="485" spans="1:3" ht="12" customHeight="1" x14ac:dyDescent="0.25">
      <c r="A485" s="3" t="s">
        <v>162</v>
      </c>
      <c r="B485" s="4"/>
      <c r="C485" s="4"/>
    </row>
    <row r="486" spans="1:3" ht="12" customHeight="1" x14ac:dyDescent="0.25">
      <c r="A486" s="3" t="s">
        <v>163</v>
      </c>
      <c r="B486" s="4"/>
      <c r="C486" s="5">
        <f>C472</f>
        <v>369</v>
      </c>
    </row>
    <row r="487" spans="1:3" ht="12" customHeight="1" x14ac:dyDescent="0.25">
      <c r="A487" s="4"/>
      <c r="B487" s="4"/>
      <c r="C487" s="4"/>
    </row>
    <row r="488" spans="1:3" ht="12" customHeight="1" x14ac:dyDescent="0.25">
      <c r="A488" s="3" t="s">
        <v>164</v>
      </c>
      <c r="B488" s="4"/>
      <c r="C488" s="5">
        <f>C474</f>
        <v>1392</v>
      </c>
    </row>
    <row r="489" spans="1:3" ht="12" customHeight="1" x14ac:dyDescent="0.25">
      <c r="A489" s="4"/>
      <c r="B489" s="4"/>
      <c r="C489" s="4"/>
    </row>
    <row r="490" spans="1:3" ht="12" customHeight="1" x14ac:dyDescent="0.25">
      <c r="A490" s="3" t="s">
        <v>165</v>
      </c>
      <c r="B490" s="4"/>
      <c r="C490" s="4"/>
    </row>
    <row r="491" spans="1:3" ht="12" customHeight="1" x14ac:dyDescent="0.25">
      <c r="A491" s="3" t="s">
        <v>166</v>
      </c>
      <c r="B491" s="5">
        <f>C442</f>
        <v>0</v>
      </c>
      <c r="C491" s="4"/>
    </row>
    <row r="492" spans="1:3" ht="12" customHeight="1" x14ac:dyDescent="0.25">
      <c r="A492" s="3" t="s">
        <v>167</v>
      </c>
      <c r="B492" s="5">
        <f>C546</f>
        <v>0</v>
      </c>
      <c r="C492" s="5">
        <f>B491+B492</f>
        <v>0</v>
      </c>
    </row>
    <row r="493" spans="1:3" ht="12" customHeight="1" x14ac:dyDescent="0.25">
      <c r="A493" s="4"/>
      <c r="B493" s="4"/>
      <c r="C493" s="4"/>
    </row>
    <row r="494" spans="1:3" ht="12" customHeight="1" x14ac:dyDescent="0.25">
      <c r="A494" s="3" t="s">
        <v>160</v>
      </c>
      <c r="B494" s="4"/>
      <c r="C494" s="4"/>
    </row>
    <row r="495" spans="1:3" ht="12" customHeight="1" x14ac:dyDescent="0.25">
      <c r="A495" s="3" t="s">
        <v>168</v>
      </c>
      <c r="B495" s="4"/>
      <c r="C495" s="5">
        <f>C479</f>
        <v>-262</v>
      </c>
    </row>
    <row r="496" spans="1:3" ht="12" customHeight="1" x14ac:dyDescent="0.25">
      <c r="A496" s="4"/>
      <c r="B496" s="4"/>
      <c r="C496" s="4"/>
    </row>
    <row r="497" spans="1:3" ht="12" customHeight="1" x14ac:dyDescent="0.25">
      <c r="A497" s="5" t="str">
        <f>REPLACE("   5. Net periodic postretirement benefit cost (FY ending 12/31/xxxx)",65,4,FIXED(Calculations!B9,0,TRUE))</f>
        <v xml:space="preserve">   5. Net periodic postretirement benefit cost (FY ending 12/31/2016)</v>
      </c>
      <c r="B497" s="4"/>
      <c r="C497" s="5">
        <f>C486+C488+C492+C495</f>
        <v>1499</v>
      </c>
    </row>
    <row r="498" spans="1:3" ht="12" customHeight="1" x14ac:dyDescent="0.25">
      <c r="A498" s="4"/>
      <c r="B498" s="4"/>
      <c r="C498" s="4"/>
    </row>
    <row r="499" spans="1:3" ht="12" customHeight="1" x14ac:dyDescent="0.25">
      <c r="A499" s="4"/>
      <c r="B499" s="4"/>
      <c r="C499" s="4"/>
    </row>
    <row r="500" spans="1:3" ht="12" customHeight="1" x14ac:dyDescent="0.25">
      <c r="A500" s="4"/>
      <c r="B500" s="4"/>
      <c r="C500" s="4"/>
    </row>
    <row r="501" spans="1:3" ht="12" customHeight="1" x14ac:dyDescent="0.25">
      <c r="A501" s="4"/>
      <c r="B501" s="4"/>
      <c r="C501" s="4"/>
    </row>
    <row r="502" spans="1:3" ht="12" customHeight="1" x14ac:dyDescent="0.25">
      <c r="A502" s="4"/>
      <c r="B502" s="4"/>
      <c r="C502" s="4"/>
    </row>
    <row r="503" spans="1:3" ht="12" customHeight="1" x14ac:dyDescent="0.25">
      <c r="A503" s="4"/>
      <c r="B503" s="4"/>
      <c r="C503" s="4"/>
    </row>
    <row r="504" spans="1:3" ht="12" customHeight="1" x14ac:dyDescent="0.25">
      <c r="A504" s="4"/>
      <c r="B504" s="4"/>
      <c r="C504" s="4"/>
    </row>
    <row r="505" spans="1:3" ht="12" customHeight="1" x14ac:dyDescent="0.25">
      <c r="A505" s="4"/>
      <c r="B505" s="4"/>
      <c r="C505" s="4"/>
    </row>
    <row r="506" spans="1:3" ht="12" customHeight="1" x14ac:dyDescent="0.25">
      <c r="A506" s="4"/>
      <c r="B506" s="4"/>
      <c r="C506" s="4"/>
    </row>
    <row r="507" spans="1:3" ht="12" customHeight="1" x14ac:dyDescent="0.25">
      <c r="A507" s="4"/>
      <c r="B507" s="4"/>
      <c r="C507" s="4"/>
    </row>
    <row r="508" spans="1:3" ht="12" customHeight="1" x14ac:dyDescent="0.25">
      <c r="A508" s="20" t="s">
        <v>169</v>
      </c>
      <c r="B508" s="4"/>
      <c r="C508" s="4"/>
    </row>
    <row r="509" spans="1:3" ht="12" customHeight="1" x14ac:dyDescent="0.25">
      <c r="A509" s="18" t="s">
        <v>593</v>
      </c>
      <c r="B509" s="4"/>
      <c r="C509" s="4"/>
    </row>
    <row r="510" spans="1:3" ht="12" customHeight="1" x14ac:dyDescent="0.25">
      <c r="A510" s="4"/>
      <c r="B510" s="4"/>
      <c r="C510" s="4"/>
    </row>
    <row r="511" spans="1:3" ht="12" customHeight="1" x14ac:dyDescent="0.25">
      <c r="A511" s="18" t="s">
        <v>45</v>
      </c>
      <c r="B511" s="4"/>
      <c r="C511" s="4"/>
    </row>
    <row r="512" spans="1:3" ht="12" customHeight="1" x14ac:dyDescent="0.25">
      <c r="A512" s="18" t="str">
        <f>A456</f>
        <v xml:space="preserve">          DECEMBER 31, 2016</v>
      </c>
      <c r="B512" s="4"/>
      <c r="C512" s="4"/>
    </row>
    <row r="513" spans="1:3" ht="12" customHeight="1" x14ac:dyDescent="0.25">
      <c r="A513" s="5" t="str">
        <f>T(A$23)</f>
        <v/>
      </c>
      <c r="B513" s="4"/>
      <c r="C513" s="4"/>
    </row>
    <row r="514" spans="1:3" ht="12" customHeight="1" x14ac:dyDescent="0.25">
      <c r="A514" s="4"/>
      <c r="B514" s="4"/>
      <c r="C514" s="4"/>
    </row>
    <row r="515" spans="1:3" ht="12" customHeight="1" x14ac:dyDescent="0.25">
      <c r="A515" s="4"/>
      <c r="B515" s="4"/>
      <c r="C515" s="4"/>
    </row>
    <row r="516" spans="1:3" ht="12" customHeight="1" x14ac:dyDescent="0.25">
      <c r="A516" s="20" t="s">
        <v>152</v>
      </c>
      <c r="B516" s="4"/>
      <c r="C516" s="4"/>
    </row>
    <row r="517" spans="1:3" ht="12" customHeight="1" x14ac:dyDescent="0.25">
      <c r="A517" s="9"/>
      <c r="B517" s="4"/>
      <c r="C517" s="4"/>
    </row>
    <row r="518" spans="1:3" ht="12" customHeight="1" x14ac:dyDescent="0.25">
      <c r="A518" s="20" t="str">
        <f>T(A405)</f>
        <v xml:space="preserve">                DEVELOPMENT OF NET PERIODIC POSTRETIREMENT BENEFIT COST </v>
      </c>
      <c r="B518" s="4"/>
      <c r="C518" s="4"/>
    </row>
    <row r="519" spans="1:3" ht="12" customHeight="1" x14ac:dyDescent="0.25">
      <c r="A519" s="20" t="str">
        <f>T(A406)</f>
        <v xml:space="preserve">                      FOR FISCAL YEAR ENDING DECEMBER 31, 2016</v>
      </c>
      <c r="B519" s="4"/>
      <c r="C519" s="4"/>
    </row>
    <row r="520" spans="1:3" ht="12" customHeight="1" x14ac:dyDescent="0.25">
      <c r="A520" s="20" t="str">
        <f>T(A407)</f>
        <v xml:space="preserve">                      ------------------------------------</v>
      </c>
      <c r="B520" s="4"/>
      <c r="C520" s="4"/>
    </row>
    <row r="521" spans="1:3" ht="12" customHeight="1" x14ac:dyDescent="0.25">
      <c r="A521" s="20" t="s">
        <v>89</v>
      </c>
      <c r="B521" s="4"/>
      <c r="C521" s="4"/>
    </row>
    <row r="522" spans="1:3" ht="12" customHeight="1" x14ac:dyDescent="0.25">
      <c r="A522" s="9"/>
      <c r="B522" s="4"/>
      <c r="C522" s="4"/>
    </row>
    <row r="523" spans="1:3" ht="12" customHeight="1" x14ac:dyDescent="0.25">
      <c r="A523" s="4"/>
      <c r="B523" s="4"/>
      <c r="C523" s="4"/>
    </row>
    <row r="524" spans="1:3" ht="12" customHeight="1" x14ac:dyDescent="0.25">
      <c r="A524" s="3" t="s">
        <v>170</v>
      </c>
      <c r="B524" s="4"/>
      <c r="C524" s="4"/>
    </row>
    <row r="525" spans="1:3" ht="12" customHeight="1" x14ac:dyDescent="0.25">
      <c r="A525" s="4"/>
      <c r="B525" s="4"/>
      <c r="C525" s="4"/>
    </row>
    <row r="526" spans="1:3" ht="12" customHeight="1" x14ac:dyDescent="0.25">
      <c r="A526" s="3" t="s">
        <v>171</v>
      </c>
      <c r="B526" s="4"/>
      <c r="C526" s="4"/>
    </row>
    <row r="527" spans="1:3" ht="12" customHeight="1" x14ac:dyDescent="0.25">
      <c r="A527" s="5" t="str">
        <f>REPLACE("   actual return on Plan assets at fair value realized during fiscal 1990",70,4,FIXED(Calculations!B9,0,TRUE))</f>
        <v xml:space="preserve">   actual return on Plan assets at fair value realized during fiscal 2016</v>
      </c>
      <c r="B527" s="4"/>
      <c r="C527" s="4"/>
    </row>
    <row r="528" spans="1:3" ht="12" customHeight="1" x14ac:dyDescent="0.25">
      <c r="A528" s="3" t="s">
        <v>172</v>
      </c>
      <c r="B528" s="4"/>
      <c r="C528" s="4"/>
    </row>
    <row r="529" spans="1:3" ht="12" customHeight="1" x14ac:dyDescent="0.25">
      <c r="A529" s="4"/>
      <c r="B529" s="4"/>
      <c r="C529" s="25" t="s">
        <v>173</v>
      </c>
    </row>
    <row r="530" spans="1:3" ht="12" customHeight="1" x14ac:dyDescent="0.25">
      <c r="A530" s="4"/>
      <c r="B530" s="4"/>
      <c r="C530" s="4"/>
    </row>
    <row r="531" spans="1:3" ht="12" customHeight="1" x14ac:dyDescent="0.25">
      <c r="A531" s="5" t="str">
        <f>REPLACE("   1. Plan assets at fair value on December 31, 1990",49,4,FIXED(Calculations!B9,0,TRUE))</f>
        <v xml:space="preserve">   1. Plan assets at fair value on December 31, 2016</v>
      </c>
      <c r="B531" s="4"/>
      <c r="C531" s="5">
        <f>Calculations!B26</f>
        <v>0</v>
      </c>
    </row>
    <row r="532" spans="1:3" ht="12" customHeight="1" x14ac:dyDescent="0.25">
      <c r="A532" s="4"/>
      <c r="B532" s="4"/>
      <c r="C532" s="4"/>
    </row>
    <row r="533" spans="1:3" ht="12" customHeight="1" x14ac:dyDescent="0.25">
      <c r="A533" s="5" t="str">
        <f>REPLACE("   2. Plan contributions during year ending December 31, 19xx",58,4,FIXED(Calculations!B9,0,TRUE))</f>
        <v xml:space="preserve">   2. Plan contributions during year ending December 31, 2016</v>
      </c>
      <c r="B533" s="4"/>
      <c r="C533" s="5">
        <f>-Calculations!B23</f>
        <v>1542</v>
      </c>
    </row>
    <row r="534" spans="1:3" ht="12" customHeight="1" x14ac:dyDescent="0.25">
      <c r="A534" s="4"/>
      <c r="B534" s="4"/>
      <c r="C534" s="4"/>
    </row>
    <row r="535" spans="1:3" ht="12" customHeight="1" x14ac:dyDescent="0.25">
      <c r="A535" s="5" t="str">
        <f>REPLACE("   3. Benefit payments during year ending December 31, 1990",56,4,FIXED(Calculations!B9,0,TRUE))</f>
        <v xml:space="preserve">   3. Benefit payments during year ending December 31, 2016</v>
      </c>
      <c r="B535" s="4"/>
      <c r="C535" s="5">
        <f>C533</f>
        <v>1542</v>
      </c>
    </row>
    <row r="536" spans="1:3" ht="12" customHeight="1" x14ac:dyDescent="0.25">
      <c r="A536" s="4"/>
      <c r="B536" s="4"/>
      <c r="C536" s="4"/>
    </row>
    <row r="537" spans="1:3" ht="12" customHeight="1" x14ac:dyDescent="0.25">
      <c r="A537" s="5" t="str">
        <f>REPLACE("   4. Non-inv. expenses during year ending December 31, 1990",57,4,FIXED(Calculations!B9,0,TRUE))</f>
        <v xml:space="preserve">   4. Non-inv. expenses during year ending December 31, 2016</v>
      </c>
      <c r="B537" s="4"/>
      <c r="C537" s="5">
        <f>Calculations!B27</f>
        <v>0</v>
      </c>
    </row>
    <row r="538" spans="1:3" ht="12" customHeight="1" x14ac:dyDescent="0.25">
      <c r="A538" s="4"/>
      <c r="B538" s="4"/>
      <c r="C538" s="4"/>
    </row>
    <row r="539" spans="1:3" ht="12" customHeight="1" x14ac:dyDescent="0.25">
      <c r="A539" s="5" t="str">
        <f>REPLACE("   5. Plan assets at fair value on January 1, 1989",47,4,FIXED(Calculations!B9,0,TRUE))</f>
        <v xml:space="preserve">   5. Plan assets at fair value on January 1, 2016</v>
      </c>
      <c r="B539" s="4"/>
      <c r="C539" s="5">
        <f>C436</f>
        <v>0</v>
      </c>
    </row>
    <row r="540" spans="1:3" ht="12" customHeight="1" x14ac:dyDescent="0.25">
      <c r="A540" s="4"/>
      <c r="B540" s="4"/>
      <c r="C540" s="4"/>
    </row>
    <row r="541" spans="1:3" ht="12" customHeight="1" x14ac:dyDescent="0.25">
      <c r="A541" s="3" t="s">
        <v>174</v>
      </c>
      <c r="B541" s="4"/>
    </row>
    <row r="542" spans="1:3" ht="12" customHeight="1" x14ac:dyDescent="0.25">
      <c r="A542" s="5" t="str">
        <f>REPLACE("      ending December 31, 1990   (1)-(2)+(3)+(4)-(5)",27,4,FIXED(Calculations!B9,0,TRUE))</f>
        <v xml:space="preserve">      ending December 31, 2016   (1)-(2)+(3)+(4)-(5)</v>
      </c>
      <c r="B542" s="4"/>
      <c r="C542" s="5">
        <f>C531-C533+C535+C537-C539</f>
        <v>0</v>
      </c>
    </row>
    <row r="543" spans="1:3" ht="12" customHeight="1" x14ac:dyDescent="0.25">
      <c r="A543" s="4"/>
      <c r="B543" s="4"/>
      <c r="C543" s="4"/>
    </row>
    <row r="544" spans="1:3" ht="12" customHeight="1" x14ac:dyDescent="0.25">
      <c r="A544" s="3" t="s">
        <v>175</v>
      </c>
      <c r="B544" s="4"/>
      <c r="C544" s="5">
        <f>-C442</f>
        <v>0</v>
      </c>
    </row>
    <row r="545" spans="1:3" ht="12" customHeight="1" x14ac:dyDescent="0.25">
      <c r="A545" s="4"/>
      <c r="B545" s="4"/>
      <c r="C545" s="4"/>
    </row>
    <row r="546" spans="1:3" ht="12" customHeight="1" x14ac:dyDescent="0.25">
      <c r="A546" s="3" t="s">
        <v>176</v>
      </c>
      <c r="B546" s="4"/>
      <c r="C546" s="5">
        <f>C542-C544</f>
        <v>0</v>
      </c>
    </row>
    <row r="547" spans="1:3" ht="12" customHeight="1" x14ac:dyDescent="0.25">
      <c r="A547" s="4"/>
      <c r="B547" s="4"/>
      <c r="C547" s="4"/>
    </row>
    <row r="548" spans="1:3" ht="12" customHeight="1" x14ac:dyDescent="0.25">
      <c r="A548" s="4"/>
      <c r="B548" s="4"/>
      <c r="C548" s="4"/>
    </row>
    <row r="549" spans="1:3" ht="12" customHeight="1" x14ac:dyDescent="0.25">
      <c r="A549" s="4"/>
      <c r="B549" s="4"/>
      <c r="C549" s="4"/>
    </row>
    <row r="550" spans="1:3" ht="12" customHeight="1" x14ac:dyDescent="0.25">
      <c r="A550" s="4"/>
      <c r="B550" s="4"/>
      <c r="C550" s="4"/>
    </row>
    <row r="551" spans="1:3" ht="12" customHeight="1" x14ac:dyDescent="0.25">
      <c r="A551" s="4"/>
      <c r="B551" s="4"/>
      <c r="C551" s="4"/>
    </row>
    <row r="552" spans="1:3" ht="12" customHeight="1" x14ac:dyDescent="0.25">
      <c r="A552" s="4"/>
      <c r="B552" s="4"/>
      <c r="C552" s="4"/>
    </row>
    <row r="553" spans="1:3" ht="12" customHeight="1" x14ac:dyDescent="0.25">
      <c r="A553" s="4"/>
      <c r="B553" s="4"/>
      <c r="C553" s="4"/>
    </row>
    <row r="554" spans="1:3" ht="12" customHeight="1" x14ac:dyDescent="0.25">
      <c r="A554" s="4"/>
      <c r="B554" s="4"/>
      <c r="C554" s="4"/>
    </row>
    <row r="555" spans="1:3" ht="12" customHeight="1" x14ac:dyDescent="0.25">
      <c r="A555" s="4"/>
      <c r="B555" s="4"/>
      <c r="C555" s="4"/>
    </row>
    <row r="556" spans="1:3" ht="12" customHeight="1" x14ac:dyDescent="0.25">
      <c r="A556" s="4"/>
      <c r="B556" s="4"/>
      <c r="C556" s="4"/>
    </row>
    <row r="557" spans="1:3" ht="12" customHeight="1" x14ac:dyDescent="0.25">
      <c r="A557" s="4"/>
      <c r="B557" s="4"/>
      <c r="C557" s="4"/>
    </row>
    <row r="558" spans="1:3" ht="12" customHeight="1" x14ac:dyDescent="0.25">
      <c r="A558" s="4"/>
      <c r="B558" s="4"/>
      <c r="C558" s="4"/>
    </row>
    <row r="559" spans="1:3" ht="12" customHeight="1" x14ac:dyDescent="0.25">
      <c r="A559" s="4"/>
      <c r="B559" s="4"/>
      <c r="C559" s="4"/>
    </row>
    <row r="560" spans="1:3" ht="12" customHeight="1" x14ac:dyDescent="0.25">
      <c r="A560" s="4"/>
      <c r="B560" s="4"/>
      <c r="C560" s="4"/>
    </row>
    <row r="561" spans="1:3" ht="12" customHeight="1" x14ac:dyDescent="0.25">
      <c r="A561" s="4"/>
      <c r="B561" s="4"/>
      <c r="C561" s="4"/>
    </row>
    <row r="562" spans="1:3" ht="12" customHeight="1" x14ac:dyDescent="0.25">
      <c r="A562" s="4"/>
      <c r="B562" s="4"/>
      <c r="C562" s="4"/>
    </row>
    <row r="563" spans="1:3" ht="12" customHeight="1" x14ac:dyDescent="0.25">
      <c r="A563" s="4"/>
      <c r="B563" s="4"/>
      <c r="C563" s="4"/>
    </row>
    <row r="564" spans="1:3" ht="12" customHeight="1" x14ac:dyDescent="0.25">
      <c r="A564" s="20" t="s">
        <v>177</v>
      </c>
      <c r="B564" s="4"/>
      <c r="C564" s="4"/>
    </row>
    <row r="565" spans="1:3" ht="12" customHeight="1" x14ac:dyDescent="0.25">
      <c r="A565" s="18" t="s">
        <v>593</v>
      </c>
      <c r="B565" s="4"/>
      <c r="C565" s="4"/>
    </row>
    <row r="566" spans="1:3" ht="12" customHeight="1" x14ac:dyDescent="0.25">
      <c r="A566" s="4"/>
      <c r="B566" s="4"/>
      <c r="C566" s="4"/>
    </row>
    <row r="567" spans="1:3" ht="12" customHeight="1" x14ac:dyDescent="0.25">
      <c r="A567" s="18" t="s">
        <v>45</v>
      </c>
      <c r="B567" s="4"/>
      <c r="C567" s="4"/>
    </row>
    <row r="568" spans="1:3" ht="12" customHeight="1" x14ac:dyDescent="0.25">
      <c r="A568" s="18" t="str">
        <f>A512</f>
        <v xml:space="preserve">          DECEMBER 31, 2016</v>
      </c>
      <c r="B568" s="4"/>
      <c r="C568" s="4"/>
    </row>
    <row r="569" spans="1:3" ht="12" customHeight="1" x14ac:dyDescent="0.25">
      <c r="A569" s="5" t="str">
        <f>T(A$23)</f>
        <v/>
      </c>
      <c r="B569" s="4"/>
      <c r="C569" s="4"/>
    </row>
    <row r="570" spans="1:3" ht="12" customHeight="1" x14ac:dyDescent="0.25">
      <c r="A570" s="4"/>
      <c r="B570" s="4"/>
      <c r="C570" s="4"/>
    </row>
    <row r="571" spans="1:3" ht="12" customHeight="1" x14ac:dyDescent="0.25">
      <c r="A571" s="20" t="s">
        <v>178</v>
      </c>
      <c r="B571" s="4"/>
      <c r="C571" s="4"/>
    </row>
    <row r="572" spans="1:3" ht="12" customHeight="1" x14ac:dyDescent="0.25">
      <c r="A572" s="9"/>
      <c r="B572" s="4"/>
      <c r="C572" s="4"/>
    </row>
    <row r="573" spans="1:3" ht="12" customHeight="1" x14ac:dyDescent="0.25">
      <c r="A573" s="20" t="s">
        <v>179</v>
      </c>
      <c r="B573" s="4"/>
      <c r="C573" s="4"/>
    </row>
    <row r="574" spans="1:3" ht="12" customHeight="1" x14ac:dyDescent="0.25">
      <c r="A574" s="20" t="s">
        <v>180</v>
      </c>
      <c r="B574" s="4"/>
      <c r="C574" s="4"/>
    </row>
    <row r="575" spans="1:3" ht="12" customHeight="1" x14ac:dyDescent="0.25">
      <c r="A575" s="4"/>
      <c r="B575" s="4"/>
      <c r="C575" s="4"/>
    </row>
    <row r="576" spans="1:3" ht="12" customHeight="1" x14ac:dyDescent="0.25">
      <c r="A576" s="3" t="s">
        <v>181</v>
      </c>
      <c r="B576" s="4"/>
      <c r="C576" s="4"/>
    </row>
    <row r="577" spans="1:3" ht="12" customHeight="1" x14ac:dyDescent="0.25">
      <c r="A577" s="5" t="str">
        <f>REPLACE("Funded Status of the Plan on SCGA's December 31, 1990 financial statements.  This",50,4,FIXED(Calculations!B9,0,TRUE))</f>
        <v>Funded Status of the Plan on SCGA's December 31, 2016 financial statements.  This</v>
      </c>
      <c r="B577" s="4"/>
      <c r="C577" s="4"/>
    </row>
    <row r="578" spans="1:3" ht="12" customHeight="1" x14ac:dyDescent="0.25">
      <c r="A578" s="3" t="str">
        <f>"Section shows the funded status " &amp; REPLACE(REPLACE("as of December 31, 1989 and as of December 31, 1990.",20,4,FIXED(Calculations!B9-1,0,TRUE)),48,4,FIXED(Calculations!B9,0,TRUE))</f>
        <v>Section shows the funded status as of December 31, 2015 and as of December 31, 2016.</v>
      </c>
      <c r="B578" s="4"/>
      <c r="C578" s="4"/>
    </row>
    <row r="579" spans="1:3" ht="12" customHeight="1" x14ac:dyDescent="0.25">
      <c r="A579" s="5"/>
      <c r="B579" s="4"/>
      <c r="C579" s="4"/>
    </row>
    <row r="580" spans="1:3" ht="12" customHeight="1" x14ac:dyDescent="0.25">
      <c r="A580" s="4"/>
      <c r="B580" s="25" t="str">
        <f>REPLACE("  12/31/xxxx",9,4,FIXED(Calculations!B9-1,0,TRUE))</f>
        <v xml:space="preserve">  12/31/2015</v>
      </c>
      <c r="C580" s="25" t="str">
        <f>REPLACE("  12/31/xxxx",9,4,FIXED(Calculations!B9,0,TRUE))</f>
        <v xml:space="preserve">  12/31/2016</v>
      </c>
    </row>
    <row r="581" spans="1:3" ht="12" customHeight="1" x14ac:dyDescent="0.25">
      <c r="A581" s="4"/>
      <c r="B581" s="35" t="s">
        <v>91</v>
      </c>
      <c r="C581" s="35" t="s">
        <v>91</v>
      </c>
    </row>
    <row r="582" spans="1:3" ht="12" customHeight="1" x14ac:dyDescent="0.25">
      <c r="A582" s="4"/>
      <c r="B582" s="25" t="s">
        <v>92</v>
      </c>
      <c r="C582" s="25" t="s">
        <v>92</v>
      </c>
    </row>
    <row r="583" spans="1:3" ht="12" customHeight="1" x14ac:dyDescent="0.25">
      <c r="A583" s="4"/>
      <c r="B583" s="4"/>
      <c r="C583" s="4"/>
    </row>
    <row r="584" spans="1:3" ht="12" customHeight="1" x14ac:dyDescent="0.25">
      <c r="A584" s="3" t="s">
        <v>77</v>
      </c>
      <c r="B584" s="4"/>
      <c r="C584" s="4"/>
    </row>
    <row r="585" spans="1:3" ht="12" customHeight="1" x14ac:dyDescent="0.25">
      <c r="A585" s="3" t="s">
        <v>78</v>
      </c>
      <c r="B585" s="4"/>
      <c r="C585" s="4"/>
    </row>
    <row r="586" spans="1:3" ht="12" customHeight="1" x14ac:dyDescent="0.25">
      <c r="A586" s="3" t="s">
        <v>79</v>
      </c>
      <c r="B586" s="5">
        <f>-ROUND('OPEVS results'!B7/1000,0)</f>
        <v>-28661</v>
      </c>
      <c r="C586" s="5">
        <f>-C251</f>
        <v>-25584</v>
      </c>
    </row>
    <row r="587" spans="1:3" ht="12" customHeight="1" x14ac:dyDescent="0.25">
      <c r="A587" s="3" t="s">
        <v>80</v>
      </c>
      <c r="B587" s="5">
        <f>-ROUND('OPEVS results'!B6/1000,0)</f>
        <v>0</v>
      </c>
      <c r="C587" s="5">
        <f t="shared" ref="C587:C589" si="0">-C252</f>
        <v>0</v>
      </c>
    </row>
    <row r="588" spans="1:3" ht="12" customHeight="1" x14ac:dyDescent="0.25">
      <c r="A588" s="3" t="s">
        <v>81</v>
      </c>
      <c r="B588" s="5">
        <f>-ROUND('OPEVS results'!B4/1000,0)</f>
        <v>-4089</v>
      </c>
      <c r="C588" s="5">
        <f t="shared" si="0"/>
        <v>-4024</v>
      </c>
    </row>
    <row r="589" spans="1:3" ht="12" customHeight="1" x14ac:dyDescent="0.25">
      <c r="A589" s="3" t="s">
        <v>82</v>
      </c>
      <c r="B589" s="5">
        <f>-ROUND('OPEVS results'!B5/1000,0)</f>
        <v>-1973</v>
      </c>
      <c r="C589" s="5">
        <f t="shared" si="0"/>
        <v>-2011</v>
      </c>
    </row>
    <row r="590" spans="1:3" ht="12" customHeight="1" x14ac:dyDescent="0.25">
      <c r="A590" s="3" t="s">
        <v>83</v>
      </c>
      <c r="B590" s="5">
        <f>SUM(B586:B589)</f>
        <v>-34723</v>
      </c>
      <c r="C590" s="5">
        <f>SUM(C586:C589)</f>
        <v>-31619</v>
      </c>
    </row>
    <row r="591" spans="1:3" ht="12" customHeight="1" x14ac:dyDescent="0.25">
      <c r="A591" s="4"/>
      <c r="B591" s="4"/>
      <c r="C591" s="4"/>
    </row>
    <row r="592" spans="1:3" ht="12" customHeight="1" x14ac:dyDescent="0.25">
      <c r="A592" s="3" t="s">
        <v>182</v>
      </c>
      <c r="B592" s="5">
        <f>Calculations!B25</f>
        <v>0</v>
      </c>
      <c r="C592" s="5">
        <f>Calculations!B26</f>
        <v>0</v>
      </c>
    </row>
    <row r="593" spans="1:3" ht="12" customHeight="1" x14ac:dyDescent="0.25">
      <c r="A593" s="4"/>
      <c r="B593" s="4"/>
      <c r="C593" s="4"/>
    </row>
    <row r="594" spans="1:3" ht="12" customHeight="1" x14ac:dyDescent="0.25">
      <c r="A594" s="3" t="s">
        <v>183</v>
      </c>
      <c r="B594" s="5">
        <f>B590+B592</f>
        <v>-34723</v>
      </c>
      <c r="C594" s="5">
        <f>C590+C592</f>
        <v>-31619</v>
      </c>
    </row>
    <row r="595" spans="1:3" ht="12" customHeight="1" x14ac:dyDescent="0.25">
      <c r="A595" s="4"/>
      <c r="B595" s="4"/>
      <c r="C595" s="4"/>
    </row>
    <row r="596" spans="1:3" ht="12" customHeight="1" x14ac:dyDescent="0.25">
      <c r="A596" s="26" t="s">
        <v>184</v>
      </c>
      <c r="B596" s="25">
        <f>+B594</f>
        <v>-34723</v>
      </c>
      <c r="C596" s="25">
        <f>+C594</f>
        <v>-31619</v>
      </c>
    </row>
    <row r="597" spans="1:3" ht="12" customHeight="1" x14ac:dyDescent="0.25">
      <c r="A597" s="5"/>
      <c r="B597" s="4"/>
      <c r="C597" s="4"/>
    </row>
    <row r="598" spans="1:3" ht="12" customHeight="1" x14ac:dyDescent="0.25">
      <c r="A598" s="5"/>
      <c r="B598" s="4"/>
      <c r="C598" s="4"/>
    </row>
    <row r="599" spans="1:3" ht="12" customHeight="1" x14ac:dyDescent="0.25">
      <c r="A599" s="5"/>
      <c r="B599" s="4"/>
      <c r="C599" s="4"/>
    </row>
    <row r="600" spans="1:3" ht="12" customHeight="1" x14ac:dyDescent="0.25">
      <c r="A600" s="5"/>
      <c r="B600" s="4"/>
      <c r="C600" s="4"/>
    </row>
    <row r="601" spans="1:3" ht="12" customHeight="1" x14ac:dyDescent="0.25">
      <c r="A601" s="5"/>
      <c r="B601" s="4"/>
      <c r="C601" s="4"/>
    </row>
    <row r="602" spans="1:3" ht="12" customHeight="1" x14ac:dyDescent="0.25">
      <c r="A602" s="5"/>
      <c r="B602" s="4"/>
      <c r="C602" s="4"/>
    </row>
    <row r="603" spans="1:3" ht="12" customHeight="1" x14ac:dyDescent="0.25">
      <c r="A603" s="5"/>
      <c r="B603" s="4"/>
      <c r="C603" s="4"/>
    </row>
    <row r="604" spans="1:3" ht="12" customHeight="1" x14ac:dyDescent="0.25">
      <c r="A604" s="5"/>
      <c r="B604" s="4"/>
      <c r="C604" s="4"/>
    </row>
    <row r="605" spans="1:3" ht="12" customHeight="1" x14ac:dyDescent="0.25">
      <c r="A605" s="5"/>
      <c r="B605" s="4"/>
      <c r="C605" s="4"/>
    </row>
    <row r="606" spans="1:3" ht="12" customHeight="1" x14ac:dyDescent="0.25">
      <c r="A606" s="5"/>
      <c r="B606" s="4"/>
      <c r="C606" s="4"/>
    </row>
    <row r="607" spans="1:3" ht="12" customHeight="1" x14ac:dyDescent="0.25">
      <c r="A607" s="5"/>
      <c r="B607" s="4"/>
      <c r="C607" s="4"/>
    </row>
    <row r="608" spans="1:3" ht="12" customHeight="1" x14ac:dyDescent="0.25">
      <c r="A608" s="5"/>
      <c r="B608" s="4"/>
      <c r="C608" s="4"/>
    </row>
    <row r="609" spans="1:3" ht="12" customHeight="1" x14ac:dyDescent="0.25">
      <c r="A609" s="3"/>
      <c r="B609" s="4"/>
      <c r="C609" s="4"/>
    </row>
    <row r="610" spans="1:3" ht="12" customHeight="1" x14ac:dyDescent="0.25">
      <c r="A610" s="3"/>
      <c r="B610" s="4"/>
      <c r="C610" s="4"/>
    </row>
    <row r="611" spans="1:3" ht="12" customHeight="1" x14ac:dyDescent="0.25">
      <c r="A611" s="5"/>
      <c r="B611" s="4"/>
      <c r="C611" s="4"/>
    </row>
    <row r="612" spans="1:3" ht="12" customHeight="1" x14ac:dyDescent="0.25">
      <c r="A612" s="3"/>
      <c r="B612" s="4"/>
      <c r="C612" s="4"/>
    </row>
    <row r="613" spans="1:3" ht="12" customHeight="1" x14ac:dyDescent="0.25">
      <c r="A613" s="5"/>
      <c r="B613" s="4"/>
      <c r="C613" s="4"/>
    </row>
    <row r="614" spans="1:3" ht="12" customHeight="1" x14ac:dyDescent="0.25">
      <c r="A614" s="3"/>
      <c r="B614" s="4"/>
      <c r="C614" s="4"/>
    </row>
    <row r="615" spans="1:3" ht="12" customHeight="1" x14ac:dyDescent="0.25">
      <c r="A615" s="4"/>
      <c r="B615" s="4"/>
      <c r="C615" s="4"/>
    </row>
    <row r="616" spans="1:3" ht="12" customHeight="1" x14ac:dyDescent="0.25">
      <c r="A616" s="4"/>
      <c r="B616" s="4"/>
      <c r="C616" s="4"/>
    </row>
    <row r="617" spans="1:3" ht="12" customHeight="1" x14ac:dyDescent="0.25">
      <c r="A617" s="4"/>
      <c r="B617" s="4"/>
      <c r="C617" s="4"/>
    </row>
    <row r="618" spans="1:3" ht="12" customHeight="1" x14ac:dyDescent="0.25">
      <c r="A618" s="4"/>
      <c r="B618" s="4"/>
      <c r="C618" s="4"/>
    </row>
    <row r="619" spans="1:3" ht="12" customHeight="1" x14ac:dyDescent="0.25">
      <c r="A619" s="20" t="s">
        <v>185</v>
      </c>
      <c r="B619" s="4"/>
      <c r="C619" s="4"/>
    </row>
    <row r="620" spans="1:3" ht="12" customHeight="1" x14ac:dyDescent="0.25">
      <c r="A620" s="18" t="s">
        <v>593</v>
      </c>
      <c r="B620" s="4"/>
      <c r="C620" s="4"/>
    </row>
    <row r="621" spans="1:3" ht="12" customHeight="1" x14ac:dyDescent="0.25">
      <c r="A621" s="4"/>
      <c r="B621" s="4"/>
      <c r="C621" s="4"/>
    </row>
    <row r="622" spans="1:3" ht="12" customHeight="1" x14ac:dyDescent="0.25">
      <c r="A622" s="18" t="s">
        <v>45</v>
      </c>
      <c r="B622" s="4"/>
      <c r="C622" s="4"/>
    </row>
    <row r="623" spans="1:3" ht="12" customHeight="1" x14ac:dyDescent="0.25">
      <c r="A623" s="18" t="str">
        <f>A568</f>
        <v xml:space="preserve">          DECEMBER 31, 2016</v>
      </c>
      <c r="B623" s="4"/>
      <c r="C623" s="4"/>
    </row>
    <row r="624" spans="1:3" ht="12" customHeight="1" x14ac:dyDescent="0.25">
      <c r="A624" s="5" t="str">
        <f>T(A$23)</f>
        <v/>
      </c>
      <c r="B624" s="4"/>
      <c r="C624" s="4"/>
    </row>
    <row r="625" spans="1:3" ht="12" customHeight="1" x14ac:dyDescent="0.25">
      <c r="A625" s="4"/>
      <c r="B625" s="4"/>
      <c r="C625" s="4"/>
    </row>
    <row r="626" spans="1:3" ht="12" customHeight="1" x14ac:dyDescent="0.25">
      <c r="A626" s="20" t="s">
        <v>186</v>
      </c>
      <c r="B626" s="4"/>
      <c r="C626" s="4"/>
    </row>
    <row r="627" spans="1:3" ht="12" customHeight="1" x14ac:dyDescent="0.25">
      <c r="A627" s="9"/>
      <c r="B627" s="4"/>
      <c r="C627" s="4"/>
    </row>
    <row r="628" spans="1:3" ht="12" customHeight="1" x14ac:dyDescent="0.25">
      <c r="A628" s="20" t="s">
        <v>187</v>
      </c>
      <c r="B628" s="4"/>
      <c r="C628" s="4"/>
    </row>
    <row r="629" spans="1:3" ht="12" customHeight="1" x14ac:dyDescent="0.25">
      <c r="A629" s="20" t="s">
        <v>188</v>
      </c>
      <c r="B629" s="4"/>
      <c r="C629" s="4"/>
    </row>
    <row r="630" spans="1:3" ht="12" customHeight="1" x14ac:dyDescent="0.25">
      <c r="A630" s="4" t="s">
        <v>189</v>
      </c>
      <c r="B630" s="4"/>
      <c r="C630" s="4"/>
    </row>
    <row r="631" spans="1:3" ht="12" customHeight="1" x14ac:dyDescent="0.25">
      <c r="A631" s="4"/>
      <c r="B631" s="4"/>
      <c r="C631" s="4"/>
    </row>
    <row r="632" spans="1:3" ht="12" customHeight="1" x14ac:dyDescent="0.25">
      <c r="A632" s="3" t="str">
        <f>REPLACE("A. Amounts recognized as reduction in unrestricted net assets as of December 31, xxxx",82,4,FIXED(Calculations!B9,0,TRUE))</f>
        <v>A. Amounts recognized as reduction in unrestricted net assets as of December 31, 2016</v>
      </c>
      <c r="B632" s="4"/>
      <c r="C632" s="4"/>
    </row>
    <row r="633" spans="1:3" ht="12" customHeight="1" x14ac:dyDescent="0.25">
      <c r="A633" s="4"/>
      <c r="B633" s="4"/>
      <c r="C633" s="4"/>
    </row>
    <row r="634" spans="1:3" ht="12" customHeight="1" x14ac:dyDescent="0.25">
      <c r="A634" s="46" t="s">
        <v>190</v>
      </c>
      <c r="B634" s="4"/>
      <c r="C634" s="5">
        <f>Calculations!B28</f>
        <v>0</v>
      </c>
    </row>
    <row r="635" spans="1:3" ht="12" customHeight="1" x14ac:dyDescent="0.25">
      <c r="A635" s="4"/>
      <c r="B635" s="4"/>
      <c r="C635" s="4"/>
    </row>
    <row r="636" spans="1:3" ht="12" customHeight="1" x14ac:dyDescent="0.25">
      <c r="A636" s="46" t="s">
        <v>191</v>
      </c>
      <c r="B636" s="4"/>
      <c r="C636" s="5">
        <f>Calculations!E15</f>
        <v>-1180</v>
      </c>
    </row>
    <row r="637" spans="1:3" ht="12" customHeight="1" x14ac:dyDescent="0.25">
      <c r="A637" s="4"/>
      <c r="B637" s="4"/>
      <c r="C637" s="4"/>
    </row>
    <row r="638" spans="1:3" ht="12" customHeight="1" x14ac:dyDescent="0.25">
      <c r="A638" s="46" t="s">
        <v>192</v>
      </c>
      <c r="B638" s="4"/>
      <c r="C638" s="5">
        <f>C255-C636+Calculations!E46</f>
        <v>-1775</v>
      </c>
    </row>
    <row r="639" spans="1:3" ht="12" customHeight="1" x14ac:dyDescent="0.25">
      <c r="A639" s="4"/>
      <c r="B639" s="4"/>
      <c r="C639" s="4"/>
    </row>
    <row r="640" spans="1:3" ht="12" customHeight="1" x14ac:dyDescent="0.25">
      <c r="A640" s="23" t="s">
        <v>193</v>
      </c>
      <c r="B640" s="4"/>
    </row>
    <row r="641" spans="1:3" ht="12" customHeight="1" x14ac:dyDescent="0.25">
      <c r="A641" s="4" t="str">
        <f>REPLACE("      as of December 31, xxxx",26,4,FIXED(Calculations!B9,0,TRUE))</f>
        <v xml:space="preserve">      as of December 31, 2016</v>
      </c>
      <c r="B641" s="4"/>
      <c r="C641" s="4">
        <f>+C634+C636+C638</f>
        <v>-2955</v>
      </c>
    </row>
    <row r="642" spans="1:3" ht="12" customHeight="1" x14ac:dyDescent="0.25">
      <c r="A642" s="4"/>
      <c r="B642" s="4"/>
      <c r="C642" s="4"/>
    </row>
    <row r="643" spans="1:3" ht="12" customHeight="1" x14ac:dyDescent="0.25">
      <c r="A643" s="3" t="s">
        <v>194</v>
      </c>
      <c r="B643" s="4"/>
      <c r="C643" s="4"/>
    </row>
    <row r="644" spans="1:3" ht="12" customHeight="1" x14ac:dyDescent="0.25">
      <c r="A644" s="4"/>
      <c r="B644" s="4"/>
      <c r="C644" s="4"/>
    </row>
    <row r="645" spans="1:3" ht="12" customHeight="1" x14ac:dyDescent="0.25">
      <c r="A645" s="5" t="str">
        <f>REPLACE("   1. Unrestricted net assets as of December 31, 1990",50,4,FIXED(Calculations!B9-1,0,TRUE))</f>
        <v xml:space="preserve">   1. Unrestricted net assets as of December 31, 2015</v>
      </c>
      <c r="B645" s="4"/>
      <c r="C645" s="5">
        <f>Calculations!B29</f>
        <v>106</v>
      </c>
    </row>
    <row r="646" spans="1:3" ht="12" customHeight="1" x14ac:dyDescent="0.25">
      <c r="A646" s="4"/>
      <c r="B646" s="4"/>
      <c r="C646" s="4"/>
    </row>
    <row r="647" spans="1:3" ht="12" customHeight="1" x14ac:dyDescent="0.25">
      <c r="A647" s="4" t="s">
        <v>195</v>
      </c>
      <c r="B647" s="4"/>
      <c r="C647" s="4"/>
    </row>
    <row r="648" spans="1:3" ht="12" customHeight="1" x14ac:dyDescent="0.25">
      <c r="A648" s="4"/>
      <c r="B648" s="4"/>
      <c r="C648" s="4"/>
    </row>
    <row r="649" spans="1:3" ht="12" customHeight="1" x14ac:dyDescent="0.25">
      <c r="A649" s="46" t="s">
        <v>196</v>
      </c>
      <c r="C649" s="5">
        <f>Calculations!B35-Calculations!E34</f>
        <v>-3323</v>
      </c>
    </row>
    <row r="650" spans="1:3" ht="12" customHeight="1" x14ac:dyDescent="0.25">
      <c r="A650" s="46" t="s">
        <v>197</v>
      </c>
      <c r="C650" s="5">
        <f>Calculations!B33</f>
        <v>0</v>
      </c>
    </row>
    <row r="651" spans="1:3" ht="12" customHeight="1" x14ac:dyDescent="0.25">
      <c r="A651" s="46" t="s">
        <v>198</v>
      </c>
      <c r="C651" s="5">
        <f>C448</f>
        <v>0</v>
      </c>
    </row>
    <row r="652" spans="1:3" ht="12" customHeight="1" x14ac:dyDescent="0.25">
      <c r="A652" s="46" t="s">
        <v>199</v>
      </c>
      <c r="C652" s="5">
        <f>-C446</f>
        <v>262</v>
      </c>
    </row>
    <row r="653" spans="1:3" ht="12" customHeight="1" x14ac:dyDescent="0.25">
      <c r="A653" s="46" t="s">
        <v>200</v>
      </c>
      <c r="C653" s="47">
        <f>Calculations!B32</f>
        <v>0</v>
      </c>
    </row>
    <row r="654" spans="1:3" ht="12" customHeight="1" x14ac:dyDescent="0.25">
      <c r="A654" s="46" t="s">
        <v>201</v>
      </c>
      <c r="C654" s="5">
        <f>+SUM(C649:C653)</f>
        <v>-3061</v>
      </c>
    </row>
    <row r="655" spans="1:3" ht="12" customHeight="1" x14ac:dyDescent="0.25">
      <c r="A655" s="46"/>
      <c r="C655" s="5"/>
    </row>
    <row r="656" spans="1:3" ht="12" customHeight="1" x14ac:dyDescent="0.25">
      <c r="A656" s="5" t="str">
        <f>REPLACE("   4. Unrestricted net assets as of December 31, 1990",50,4,FIXED(Calculations!B9,0,TRUE))</f>
        <v xml:space="preserve">   4. Unrestricted net assets as of December 31, 2016</v>
      </c>
      <c r="B656" s="4"/>
      <c r="C656" s="5">
        <f>C645+C654</f>
        <v>-2955</v>
      </c>
    </row>
    <row r="657" spans="1:3" ht="12" customHeight="1" x14ac:dyDescent="0.25">
      <c r="A657" s="4" t="s">
        <v>378</v>
      </c>
      <c r="B657" s="4"/>
      <c r="C657" s="5"/>
    </row>
    <row r="658" spans="1:3" ht="12" customHeight="1" x14ac:dyDescent="0.25">
      <c r="A658" s="5"/>
      <c r="B658" s="4"/>
      <c r="C658" s="5"/>
    </row>
    <row r="659" spans="1:3" ht="12" customHeight="1" x14ac:dyDescent="0.25">
      <c r="A659" s="5"/>
      <c r="B659" s="4"/>
      <c r="C659" s="5"/>
    </row>
    <row r="660" spans="1:3" ht="12" customHeight="1" x14ac:dyDescent="0.25">
      <c r="A660" s="5"/>
      <c r="B660" s="4"/>
      <c r="C660" s="5"/>
    </row>
    <row r="661" spans="1:3" ht="12" customHeight="1" x14ac:dyDescent="0.25">
      <c r="A661" s="5"/>
      <c r="B661" s="4"/>
      <c r="C661" s="5"/>
    </row>
    <row r="662" spans="1:3" ht="12" customHeight="1" x14ac:dyDescent="0.25">
      <c r="A662" s="5"/>
      <c r="B662" s="4"/>
      <c r="C662" s="5"/>
    </row>
    <row r="663" spans="1:3" ht="12" customHeight="1" x14ac:dyDescent="0.25">
      <c r="A663" s="5"/>
      <c r="B663" s="4"/>
      <c r="C663" s="5"/>
    </row>
    <row r="664" spans="1:3" ht="12" customHeight="1" x14ac:dyDescent="0.25">
      <c r="A664" s="5"/>
      <c r="B664" s="4"/>
      <c r="C664" s="5"/>
    </row>
    <row r="665" spans="1:3" ht="12" customHeight="1" x14ac:dyDescent="0.25">
      <c r="A665" s="5"/>
      <c r="B665" s="4"/>
      <c r="C665" s="5"/>
    </row>
    <row r="666" spans="1:3" ht="12" customHeight="1" x14ac:dyDescent="0.25">
      <c r="A666" s="5"/>
      <c r="B666" s="4"/>
      <c r="C666" s="5"/>
    </row>
    <row r="667" spans="1:3" ht="12" customHeight="1" x14ac:dyDescent="0.25">
      <c r="A667" s="5"/>
      <c r="B667" s="4"/>
      <c r="C667" s="5"/>
    </row>
    <row r="668" spans="1:3" ht="12" customHeight="1" x14ac:dyDescent="0.25">
      <c r="A668" s="5"/>
      <c r="B668" s="4"/>
      <c r="C668" s="5"/>
    </row>
    <row r="669" spans="1:3" ht="12" customHeight="1" x14ac:dyDescent="0.25">
      <c r="A669" s="5"/>
      <c r="B669" s="4"/>
      <c r="C669" s="5"/>
    </row>
    <row r="670" spans="1:3" ht="12" customHeight="1" x14ac:dyDescent="0.25">
      <c r="A670" s="5"/>
      <c r="B670" s="4"/>
      <c r="C670" s="5"/>
    </row>
    <row r="671" spans="1:3" ht="12" customHeight="1" x14ac:dyDescent="0.25">
      <c r="A671" s="4"/>
      <c r="B671" s="4"/>
      <c r="C671" s="4"/>
    </row>
    <row r="672" spans="1:3" ht="12" customHeight="1" x14ac:dyDescent="0.25">
      <c r="A672" s="20" t="s">
        <v>202</v>
      </c>
      <c r="B672" s="4"/>
      <c r="C672" s="4"/>
    </row>
    <row r="673" spans="1:3" ht="12" customHeight="1" x14ac:dyDescent="0.25">
      <c r="A673" s="18" t="s">
        <v>593</v>
      </c>
      <c r="B673" s="4"/>
      <c r="C673" s="4"/>
    </row>
    <row r="674" spans="1:3" ht="12" customHeight="1" x14ac:dyDescent="0.25">
      <c r="A674" s="4"/>
      <c r="B674" s="4"/>
      <c r="C674" s="4"/>
    </row>
    <row r="675" spans="1:3" ht="12" customHeight="1" x14ac:dyDescent="0.25">
      <c r="A675" s="18" t="s">
        <v>45</v>
      </c>
      <c r="B675" s="4"/>
      <c r="C675" s="4"/>
    </row>
    <row r="676" spans="1:3" ht="12" customHeight="1" x14ac:dyDescent="0.25">
      <c r="A676" s="18" t="str">
        <f>A623</f>
        <v xml:space="preserve">          DECEMBER 31, 2016</v>
      </c>
      <c r="B676" s="4"/>
      <c r="C676" s="4"/>
    </row>
    <row r="677" spans="1:3" ht="12" customHeight="1" x14ac:dyDescent="0.25">
      <c r="A677" s="5" t="str">
        <f>T(A$23)</f>
        <v/>
      </c>
      <c r="B677" s="4"/>
      <c r="C677" s="4"/>
    </row>
    <row r="678" spans="1:3" ht="12" customHeight="1" x14ac:dyDescent="0.25">
      <c r="A678" s="4"/>
      <c r="B678" s="4"/>
      <c r="C678" s="4"/>
    </row>
    <row r="679" spans="1:3" ht="12" customHeight="1" x14ac:dyDescent="0.25">
      <c r="A679" s="20" t="s">
        <v>203</v>
      </c>
      <c r="B679" s="4"/>
      <c r="C679" s="4"/>
    </row>
    <row r="680" spans="1:3" ht="12" customHeight="1" x14ac:dyDescent="0.25">
      <c r="A680" s="9"/>
      <c r="B680" s="4"/>
      <c r="C680" s="4"/>
    </row>
    <row r="681" spans="1:3" ht="12" customHeight="1" x14ac:dyDescent="0.25">
      <c r="A681" s="20" t="s">
        <v>204</v>
      </c>
      <c r="B681" s="4"/>
      <c r="C681" s="4"/>
    </row>
    <row r="682" spans="1:3" ht="12" customHeight="1" x14ac:dyDescent="0.25">
      <c r="A682" s="20" t="s">
        <v>205</v>
      </c>
      <c r="B682" s="4"/>
      <c r="C682" s="4"/>
    </row>
    <row r="683" spans="1:3" ht="12" customHeight="1" x14ac:dyDescent="0.25">
      <c r="A683" s="20" t="s">
        <v>206</v>
      </c>
      <c r="B683" s="4"/>
      <c r="C683" s="4"/>
    </row>
    <row r="684" spans="1:3" ht="12" customHeight="1" x14ac:dyDescent="0.25">
      <c r="A684" s="4"/>
      <c r="B684" s="4"/>
      <c r="C684" s="4"/>
    </row>
    <row r="685" spans="1:3" ht="12" customHeight="1" x14ac:dyDescent="0.25">
      <c r="A685" s="3" t="s">
        <v>181</v>
      </c>
      <c r="B685" s="4"/>
      <c r="C685" s="4"/>
    </row>
    <row r="686" spans="1:3" ht="12" customHeight="1" x14ac:dyDescent="0.25">
      <c r="A686" s="3" t="s">
        <v>207</v>
      </c>
      <c r="B686" s="4"/>
      <c r="C686" s="4"/>
    </row>
    <row r="687" spans="1:3" ht="12" customHeight="1" x14ac:dyDescent="0.25">
      <c r="A687" s="3" t="s">
        <v>208</v>
      </c>
      <c r="B687" s="4"/>
      <c r="C687" s="4"/>
    </row>
    <row r="688" spans="1:3" ht="12" customHeight="1" x14ac:dyDescent="0.25">
      <c r="A688" s="3" t="s">
        <v>209</v>
      </c>
      <c r="B688" s="4"/>
      <c r="C688" s="4"/>
    </row>
    <row r="689" spans="1:3" ht="12" customHeight="1" x14ac:dyDescent="0.25">
      <c r="A689" s="3" t="s">
        <v>210</v>
      </c>
      <c r="B689" s="4"/>
      <c r="C689" s="4"/>
    </row>
    <row r="690" spans="1:3" ht="12" customHeight="1" x14ac:dyDescent="0.25">
      <c r="A690" s="4"/>
      <c r="B690" s="4"/>
      <c r="C690" s="4"/>
    </row>
    <row r="691" spans="1:3" ht="12" customHeight="1" x14ac:dyDescent="0.25">
      <c r="A691" s="3" t="s">
        <v>211</v>
      </c>
      <c r="B691" s="4"/>
      <c r="C691" s="4"/>
    </row>
    <row r="692" spans="1:3" ht="12" customHeight="1" x14ac:dyDescent="0.25">
      <c r="A692" s="3" t="s">
        <v>212</v>
      </c>
      <c r="B692" s="4"/>
      <c r="C692" s="4"/>
    </row>
    <row r="693" spans="1:3" ht="12" customHeight="1" x14ac:dyDescent="0.25">
      <c r="A693" s="4"/>
      <c r="B693" s="4"/>
      <c r="C693" s="4"/>
    </row>
    <row r="694" spans="1:3" ht="12" customHeight="1" x14ac:dyDescent="0.25">
      <c r="A694" s="5" t="str">
        <f>REPLACE("   1. Service cost as of December 31, 1990",39,4,FIXED(Calculations!B9,0,TRUE))</f>
        <v xml:space="preserve">   1. Service cost as of December 31, 2016</v>
      </c>
      <c r="B694" s="4"/>
      <c r="C694" s="5">
        <f>ROUND('OPEVS results'!C24/1000,0)</f>
        <v>315</v>
      </c>
    </row>
    <row r="695" spans="1:3" ht="12" customHeight="1" x14ac:dyDescent="0.25">
      <c r="A695" s="4"/>
      <c r="B695" s="4"/>
      <c r="C695" s="4"/>
    </row>
    <row r="696" spans="1:3" ht="12" customHeight="1" x14ac:dyDescent="0.25">
      <c r="A696" s="5" t="str">
        <f>REPLACE("   2. Actual interest cost as of December 31, 1990",47,4,FIXED(Calculations!B9,0,TRUE))</f>
        <v xml:space="preserve">   2. Actual interest cost as of December 31, 2016</v>
      </c>
      <c r="B696" s="4"/>
      <c r="C696" s="5">
        <f>ROUND('OPEVS results'!C26/1000,0)</f>
        <v>1237</v>
      </c>
    </row>
    <row r="697" spans="1:3" ht="12" customHeight="1" x14ac:dyDescent="0.25">
      <c r="A697" s="4"/>
      <c r="B697" s="4"/>
      <c r="C697" s="4"/>
    </row>
    <row r="698" spans="1:3" ht="12" customHeight="1" x14ac:dyDescent="0.25">
      <c r="A698" s="5" t="str">
        <f>REPLACE("   3. Service cost as of December 31, 1990 assuming 1% increase in HCCTR",39,4,FIXED(Calculations!B9,0,TRUE))</f>
        <v xml:space="preserve">   3. Service cost as of December 31, 2016 assuming 1% increase in HCCTR</v>
      </c>
      <c r="B698" s="4"/>
      <c r="C698" s="5">
        <f>ROUND('OPEVS results'!E24/1000,0)</f>
        <v>412</v>
      </c>
    </row>
    <row r="699" spans="1:3" ht="12" customHeight="1" x14ac:dyDescent="0.25">
      <c r="A699" s="4"/>
      <c r="B699" s="4"/>
      <c r="C699" s="4"/>
    </row>
    <row r="700" spans="1:3" ht="12" customHeight="1" x14ac:dyDescent="0.25">
      <c r="A700" s="5" t="str">
        <f>REPLACE("   4. Interest cost as of December 31, 1990 assuming 1% increase in HCCTR",40,4,FIXED(Calculations!B9,0,TRUE))</f>
        <v xml:space="preserve">   4. Interest cost as of December 31, 2016 assuming 1% increase in HCCTR</v>
      </c>
      <c r="B700" s="4"/>
      <c r="C700" s="5">
        <f>ROUND('OPEVS results'!E26/1000,0)</f>
        <v>1424</v>
      </c>
    </row>
    <row r="701" spans="1:3" ht="12" customHeight="1" x14ac:dyDescent="0.25">
      <c r="A701" s="4"/>
      <c r="B701" s="4"/>
      <c r="C701" s="4"/>
    </row>
    <row r="702" spans="1:3" ht="12" customHeight="1" x14ac:dyDescent="0.25">
      <c r="A702" s="3" t="s">
        <v>213</v>
      </c>
      <c r="B702" s="4"/>
      <c r="C702" s="4"/>
    </row>
    <row r="703" spans="1:3" ht="12" customHeight="1" x14ac:dyDescent="0.25">
      <c r="A703" s="5" t="str">
        <f>REPLACE("      interest cost as of December 31, 1990 (3)+(4)-(1)-(2)",40,4,FIXED(Calculations!B9,0,TRUE))</f>
        <v xml:space="preserve">      interest cost as of December 31, 2016 (3)+(4)-(1)-(2)</v>
      </c>
      <c r="B703" s="4"/>
      <c r="C703" s="5">
        <f>C698+C700-C696-C694</f>
        <v>284</v>
      </c>
    </row>
    <row r="704" spans="1:3" ht="12" customHeight="1" x14ac:dyDescent="0.25">
      <c r="A704" s="4"/>
      <c r="B704" s="4"/>
      <c r="C704" s="4"/>
    </row>
    <row r="705" spans="1:3" ht="12" customHeight="1" x14ac:dyDescent="0.25">
      <c r="A705" s="3" t="s">
        <v>214</v>
      </c>
      <c r="B705" s="4"/>
      <c r="C705" s="4"/>
    </row>
    <row r="706" spans="1:3" ht="12" customHeight="1" x14ac:dyDescent="0.25">
      <c r="A706" s="3" t="s">
        <v>215</v>
      </c>
      <c r="B706" s="4"/>
      <c r="C706" s="4"/>
    </row>
    <row r="707" spans="1:3" ht="12" customHeight="1" x14ac:dyDescent="0.25">
      <c r="A707" s="4"/>
      <c r="B707" s="4"/>
      <c r="C707" s="4"/>
    </row>
    <row r="708" spans="1:3" ht="12" customHeight="1" x14ac:dyDescent="0.25">
      <c r="A708" s="3" t="s">
        <v>216</v>
      </c>
      <c r="B708" s="4"/>
      <c r="C708" s="5">
        <f>C255</f>
        <v>31619</v>
      </c>
    </row>
    <row r="709" spans="1:3" ht="12" customHeight="1" x14ac:dyDescent="0.25">
      <c r="A709" s="5" t="str">
        <f>REPLACE("      on December 31, 1990",23,4,FIXED(Calculations!B9,0,TRUE))</f>
        <v xml:space="preserve">      on December 31, 2016</v>
      </c>
      <c r="B709" s="4"/>
      <c r="C709" s="4"/>
    </row>
    <row r="710" spans="1:3" ht="12" customHeight="1" x14ac:dyDescent="0.25">
      <c r="A710" s="4"/>
      <c r="B710" s="4"/>
      <c r="C710" s="4"/>
    </row>
    <row r="711" spans="1:3" ht="12" customHeight="1" x14ac:dyDescent="0.25">
      <c r="A711" s="3" t="s">
        <v>217</v>
      </c>
      <c r="B711" s="4"/>
      <c r="C711" s="4"/>
    </row>
    <row r="712" spans="1:3" ht="12" customHeight="1" x14ac:dyDescent="0.25">
      <c r="A712" s="5" t="str">
        <f>REPLACE("      on December 31, 1990 assuming 1% increase in HCCTR",23,4,FIXED(Calculations!B9,0,TRUE))</f>
        <v xml:space="preserve">      on December 31, 2016 assuming 1% increase in HCCTR</v>
      </c>
      <c r="B712" s="4"/>
      <c r="C712" s="5">
        <f>ROUND('OPEVS results'!D24/1000,0)</f>
        <v>36293</v>
      </c>
    </row>
    <row r="713" spans="1:3" ht="12" customHeight="1" x14ac:dyDescent="0.25">
      <c r="A713" s="4"/>
      <c r="B713" s="4"/>
      <c r="C713" s="4"/>
    </row>
    <row r="714" spans="1:3" ht="12" customHeight="1" x14ac:dyDescent="0.25">
      <c r="A714" s="3" t="s">
        <v>218</v>
      </c>
      <c r="B714" s="4"/>
      <c r="C714" s="4"/>
    </row>
    <row r="715" spans="1:3" ht="12" customHeight="1" x14ac:dyDescent="0.25">
      <c r="A715" s="5" t="str">
        <f>REPLACE("      benefit obligation on December 31, 1990  (2)-(1)",42,4,FIXED(Calculations!B9,0,TRUE))</f>
        <v xml:space="preserve">      benefit obligation on December 31, 2016  (2)-(1)</v>
      </c>
      <c r="B715" s="4"/>
      <c r="C715" s="5">
        <f>C712-C708</f>
        <v>4674</v>
      </c>
    </row>
    <row r="716" spans="1:3" ht="12" customHeight="1" x14ac:dyDescent="0.25">
      <c r="A716" s="4"/>
      <c r="B716" s="4"/>
      <c r="C716" s="4"/>
    </row>
    <row r="717" spans="1:3" ht="12" customHeight="1" x14ac:dyDescent="0.25">
      <c r="A717" s="4"/>
      <c r="B717" s="4"/>
      <c r="C717" s="4"/>
    </row>
    <row r="718" spans="1:3" ht="12" customHeight="1" x14ac:dyDescent="0.25">
      <c r="A718" s="4"/>
      <c r="B718" s="4"/>
      <c r="C718" s="4"/>
    </row>
    <row r="719" spans="1:3" ht="12" customHeight="1" x14ac:dyDescent="0.25">
      <c r="A719" s="4"/>
      <c r="B719" s="4"/>
      <c r="C719" s="4"/>
    </row>
    <row r="720" spans="1:3" ht="12" customHeight="1" x14ac:dyDescent="0.25">
      <c r="A720" s="4"/>
      <c r="B720" s="4"/>
      <c r="C720" s="4"/>
    </row>
    <row r="721" spans="1:3" ht="12" customHeight="1" x14ac:dyDescent="0.25">
      <c r="A721" s="4"/>
      <c r="B721" s="4"/>
      <c r="C721" s="4"/>
    </row>
    <row r="722" spans="1:3" ht="12" customHeight="1" x14ac:dyDescent="0.25">
      <c r="A722" s="4"/>
      <c r="B722" s="4"/>
      <c r="C722" s="4"/>
    </row>
    <row r="723" spans="1:3" ht="12" customHeight="1" x14ac:dyDescent="0.25">
      <c r="A723" s="4"/>
      <c r="B723" s="4"/>
      <c r="C723" s="4"/>
    </row>
    <row r="724" spans="1:3" ht="12" customHeight="1" x14ac:dyDescent="0.25">
      <c r="A724" s="4"/>
      <c r="B724" s="4"/>
      <c r="C724" s="4"/>
    </row>
    <row r="725" spans="1:3" ht="12" customHeight="1" x14ac:dyDescent="0.25">
      <c r="A725" s="4"/>
      <c r="B725" s="4"/>
      <c r="C725" s="4"/>
    </row>
    <row r="726" spans="1:3" ht="12" customHeight="1" x14ac:dyDescent="0.25">
      <c r="A726" s="4"/>
      <c r="B726" s="4"/>
      <c r="C726" s="4"/>
    </row>
    <row r="727" spans="1:3" ht="12" customHeight="1" x14ac:dyDescent="0.25">
      <c r="A727" s="4"/>
      <c r="B727" s="4"/>
      <c r="C727" s="4"/>
    </row>
    <row r="728" spans="1:3" ht="12" customHeight="1" x14ac:dyDescent="0.25">
      <c r="A728" s="20" t="s">
        <v>219</v>
      </c>
      <c r="B728" s="4"/>
      <c r="C728" s="4"/>
    </row>
    <row r="729" spans="1:3" ht="12" customHeight="1" x14ac:dyDescent="0.25">
      <c r="A729" s="18" t="s">
        <v>593</v>
      </c>
      <c r="B729" s="4"/>
      <c r="C729" s="4"/>
    </row>
    <row r="730" spans="1:3" ht="12" customHeight="1" x14ac:dyDescent="0.25">
      <c r="A730" s="4"/>
      <c r="B730" s="4"/>
      <c r="C730" s="4"/>
    </row>
    <row r="731" spans="1:3" ht="12" customHeight="1" x14ac:dyDescent="0.25">
      <c r="A731" s="18" t="s">
        <v>45</v>
      </c>
      <c r="B731" s="4"/>
      <c r="C731" s="4"/>
    </row>
    <row r="732" spans="1:3" ht="12" customHeight="1" x14ac:dyDescent="0.25">
      <c r="A732" s="18" t="str">
        <f>A676</f>
        <v xml:space="preserve">          DECEMBER 31, 2016</v>
      </c>
      <c r="B732" s="4"/>
      <c r="C732" s="4"/>
    </row>
    <row r="733" spans="1:3" ht="12" customHeight="1" x14ac:dyDescent="0.25">
      <c r="A733" s="5" t="str">
        <f>T(A$23)</f>
        <v/>
      </c>
      <c r="B733" s="4"/>
      <c r="C733" s="4"/>
    </row>
    <row r="734" spans="1:3" ht="12" customHeight="1" x14ac:dyDescent="0.25">
      <c r="A734" s="4"/>
      <c r="B734" s="4"/>
      <c r="C734" s="4"/>
    </row>
    <row r="735" spans="1:3" ht="12" customHeight="1" x14ac:dyDescent="0.25">
      <c r="A735" s="20" t="s">
        <v>399</v>
      </c>
      <c r="B735" s="4"/>
      <c r="C735" s="4"/>
    </row>
    <row r="736" spans="1:3" ht="12" customHeight="1" x14ac:dyDescent="0.25">
      <c r="A736" s="9"/>
      <c r="B736" s="4"/>
      <c r="C736" s="4"/>
    </row>
    <row r="737" spans="1:8" ht="12" customHeight="1" x14ac:dyDescent="0.25">
      <c r="A737" s="20" t="s">
        <v>221</v>
      </c>
      <c r="B737" s="4"/>
      <c r="C737" s="4"/>
    </row>
    <row r="738" spans="1:8" ht="12" customHeight="1" x14ac:dyDescent="0.25">
      <c r="A738" s="20" t="s">
        <v>222</v>
      </c>
      <c r="B738" s="4"/>
      <c r="C738" s="4"/>
    </row>
    <row r="739" spans="1:8" ht="12" customHeight="1" x14ac:dyDescent="0.25">
      <c r="A739" s="4"/>
      <c r="B739" s="4"/>
      <c r="C739" s="4"/>
    </row>
    <row r="740" spans="1:8" ht="12" customHeight="1" x14ac:dyDescent="0.25">
      <c r="A740" s="3" t="s">
        <v>223</v>
      </c>
      <c r="B740" s="4"/>
      <c r="C740" s="4"/>
    </row>
    <row r="741" spans="1:8" ht="12" customHeight="1" x14ac:dyDescent="0.25">
      <c r="A741" s="3" t="s">
        <v>224</v>
      </c>
      <c r="B741" s="4"/>
      <c r="C741" s="4"/>
    </row>
    <row r="742" spans="1:8" ht="12" customHeight="1" x14ac:dyDescent="0.25">
      <c r="A742" s="4"/>
      <c r="B742" s="4"/>
      <c r="C742" s="4"/>
    </row>
    <row r="743" spans="1:8" ht="12" customHeight="1" x14ac:dyDescent="0.25">
      <c r="A743" s="20" t="str">
        <f>REPLACE(REPLACE("                                                  January 1, 1989    December 31, 1990",62,4,FIXED(Calculations!B9,0,TRUE)),83,4,FIXED(Calculations!B9,0,TRUE))</f>
        <v xml:space="preserve">                                                  January 1, 2016    December 31, 2016</v>
      </c>
      <c r="B743" s="4"/>
      <c r="C743" s="4"/>
    </row>
    <row r="744" spans="1:8" ht="12" customHeight="1" x14ac:dyDescent="0.25">
      <c r="A744" s="20" t="s">
        <v>225</v>
      </c>
      <c r="B744" s="4"/>
      <c r="C744" s="4"/>
    </row>
    <row r="745" spans="1:8" ht="12" customHeight="1" x14ac:dyDescent="0.25">
      <c r="A745" s="20"/>
      <c r="B745" s="4"/>
      <c r="C745" s="4"/>
    </row>
    <row r="746" spans="1:8" ht="12" customHeight="1" x14ac:dyDescent="0.25">
      <c r="A746" s="20" t="str">
        <f>REPLACE(REPLACE("              Discount Rate                       x.xxx% per annum    x.xxx% per annum ",51,5,FIXED(Calculations!B13*100,3,TRUE)),71,5,FIXED(Calculations!B16*100,3,TRUE))</f>
        <v xml:space="preserve">              Discount Rate                       4.100% per annum    4.000% per annum </v>
      </c>
      <c r="B746" s="4"/>
      <c r="C746" s="4"/>
    </row>
    <row r="747" spans="1:8" ht="12" customHeight="1" x14ac:dyDescent="0.25">
      <c r="A747" s="36"/>
      <c r="B747" s="4"/>
      <c r="C747" s="4"/>
    </row>
    <row r="748" spans="1:8" ht="12" customHeight="1" x14ac:dyDescent="0.25">
      <c r="A748" s="3" t="s">
        <v>226</v>
      </c>
      <c r="B748" s="4"/>
      <c r="C748" s="4"/>
    </row>
    <row r="749" spans="1:8" ht="12" customHeight="1" x14ac:dyDescent="0.25">
      <c r="A749" s="20" t="str">
        <f>REPLACE(REPLACE("                Return on Plan Assets             8.50% per annum     9.50% per annum ",51,4,FIXED(Calculations!B14*100,2,TRUE)),71,4,FIXED(Calculations!B17*100,2,TRUE))</f>
        <v xml:space="preserve">                Return on Plan Assets             7.50% per annum     7.50% per annum </v>
      </c>
      <c r="B749" s="4"/>
      <c r="C749" s="4"/>
    </row>
    <row r="750" spans="1:8" ht="12" customHeight="1" x14ac:dyDescent="0.25">
      <c r="A750" s="36"/>
      <c r="B750" s="4"/>
      <c r="C750" s="4"/>
    </row>
    <row r="751" spans="1:8" ht="12" customHeight="1" x14ac:dyDescent="0.25">
      <c r="A751" s="48" t="s">
        <v>427</v>
      </c>
      <c r="B751" s="4"/>
      <c r="C751" s="4"/>
    </row>
    <row r="752" spans="1:8" ht="12" customHeight="1" x14ac:dyDescent="0.25">
      <c r="A752" s="31" t="s">
        <v>426</v>
      </c>
      <c r="B752" s="49"/>
      <c r="C752" s="4"/>
      <c r="G752" s="89"/>
      <c r="H752" s="75"/>
    </row>
    <row r="753" spans="1:8" ht="12" customHeight="1" x14ac:dyDescent="0.25">
      <c r="A753" s="31" t="s">
        <v>576</v>
      </c>
      <c r="B753" s="49"/>
      <c r="C753" s="4"/>
      <c r="G753" s="90"/>
      <c r="H753" s="90"/>
    </row>
    <row r="754" spans="1:8" ht="12" customHeight="1" x14ac:dyDescent="0.25">
      <c r="A754" s="31" t="s">
        <v>570</v>
      </c>
      <c r="B754" s="49"/>
      <c r="C754" s="4"/>
      <c r="G754" s="90"/>
      <c r="H754" s="90"/>
    </row>
    <row r="755" spans="1:8" ht="12" customHeight="1" x14ac:dyDescent="0.25">
      <c r="A755" s="31" t="s">
        <v>573</v>
      </c>
      <c r="B755" s="49"/>
      <c r="C755" s="4"/>
      <c r="G755" s="90"/>
      <c r="H755" s="90"/>
    </row>
    <row r="756" spans="1:8" ht="12" customHeight="1" x14ac:dyDescent="0.25">
      <c r="A756" s="31" t="s">
        <v>574</v>
      </c>
      <c r="B756" s="49"/>
      <c r="C756" s="4"/>
      <c r="G756" s="90"/>
      <c r="H756" s="90"/>
    </row>
    <row r="757" spans="1:8" ht="12" customHeight="1" x14ac:dyDescent="0.25">
      <c r="A757" s="31" t="s">
        <v>575</v>
      </c>
      <c r="B757" s="49"/>
      <c r="C757" s="4"/>
      <c r="G757" s="90"/>
      <c r="H757" s="90"/>
    </row>
    <row r="758" spans="1:8" ht="12" customHeight="1" x14ac:dyDescent="0.25">
      <c r="A758" s="31" t="s">
        <v>571</v>
      </c>
      <c r="B758" s="49"/>
      <c r="C758" s="4"/>
      <c r="G758" s="90"/>
      <c r="H758" s="90"/>
    </row>
    <row r="759" spans="1:8" ht="12" customHeight="1" x14ac:dyDescent="0.25">
      <c r="A759" s="31" t="s">
        <v>577</v>
      </c>
      <c r="B759" s="49"/>
      <c r="C759" s="4"/>
      <c r="G759" s="90"/>
      <c r="H759" s="90"/>
    </row>
    <row r="760" spans="1:8" ht="12" customHeight="1" x14ac:dyDescent="0.25">
      <c r="A760" s="31" t="s">
        <v>578</v>
      </c>
      <c r="B760" s="49"/>
      <c r="C760" s="4"/>
      <c r="G760" s="90"/>
      <c r="H760" s="90"/>
    </row>
    <row r="761" spans="1:8" ht="12" customHeight="1" x14ac:dyDescent="0.25">
      <c r="A761" s="31" t="s">
        <v>579</v>
      </c>
      <c r="B761" s="49"/>
      <c r="C761" s="4"/>
      <c r="G761" s="90"/>
      <c r="H761" s="90"/>
    </row>
    <row r="762" spans="1:8" ht="12" customHeight="1" x14ac:dyDescent="0.25">
      <c r="A762" s="31" t="s">
        <v>572</v>
      </c>
      <c r="B762" s="49"/>
      <c r="C762" s="4"/>
      <c r="G762" s="90"/>
      <c r="H762" s="90"/>
    </row>
    <row r="763" spans="1:8" ht="12" customHeight="1" x14ac:dyDescent="0.25">
      <c r="A763" s="31" t="s">
        <v>580</v>
      </c>
      <c r="B763" s="49"/>
      <c r="C763" s="4"/>
      <c r="G763" s="90"/>
      <c r="H763" s="90"/>
    </row>
    <row r="764" spans="1:8" ht="12" customHeight="1" x14ac:dyDescent="0.25">
      <c r="A764" s="31" t="s">
        <v>581</v>
      </c>
      <c r="B764" s="49"/>
      <c r="C764" s="4"/>
      <c r="G764" s="90"/>
      <c r="H764" s="90"/>
    </row>
    <row r="765" spans="1:8" ht="12" customHeight="1" x14ac:dyDescent="0.25">
      <c r="A765" s="31" t="s">
        <v>582</v>
      </c>
      <c r="B765" s="4"/>
      <c r="C765" s="4"/>
    </row>
    <row r="766" spans="1:8" ht="12" customHeight="1" x14ac:dyDescent="0.25">
      <c r="A766" s="31"/>
      <c r="B766" s="4"/>
      <c r="C766" s="4"/>
    </row>
    <row r="767" spans="1:8" ht="12" customHeight="1" x14ac:dyDescent="0.25">
      <c r="A767" s="48" t="s">
        <v>428</v>
      </c>
      <c r="B767" s="50"/>
      <c r="C767" s="4"/>
    </row>
    <row r="768" spans="1:8" ht="12" customHeight="1" x14ac:dyDescent="0.25">
      <c r="A768" s="36"/>
      <c r="B768" s="4"/>
      <c r="C768" s="4"/>
    </row>
    <row r="769" spans="1:3" ht="12" customHeight="1" x14ac:dyDescent="0.25">
      <c r="A769" s="36"/>
      <c r="B769" s="4"/>
      <c r="C769" s="4"/>
    </row>
    <row r="770" spans="1:3" ht="12" customHeight="1" x14ac:dyDescent="0.25">
      <c r="A770" s="3" t="s">
        <v>227</v>
      </c>
      <c r="B770" s="4"/>
      <c r="C770" s="4"/>
    </row>
    <row r="771" spans="1:3" ht="12" customHeight="1" x14ac:dyDescent="0.25">
      <c r="A771" s="3" t="s">
        <v>228</v>
      </c>
      <c r="B771" s="4"/>
      <c r="C771" s="4"/>
    </row>
    <row r="772" spans="1:3" ht="12" customHeight="1" x14ac:dyDescent="0.25">
      <c r="A772" s="3" t="s">
        <v>229</v>
      </c>
      <c r="B772" s="4"/>
      <c r="C772" s="4"/>
    </row>
    <row r="773" spans="1:3" ht="12" customHeight="1" x14ac:dyDescent="0.25">
      <c r="A773" s="3" t="s">
        <v>230</v>
      </c>
      <c r="B773" s="4"/>
      <c r="C773" s="4"/>
    </row>
    <row r="774" spans="1:3" ht="12" customHeight="1" x14ac:dyDescent="0.25">
      <c r="A774" s="3" t="s">
        <v>231</v>
      </c>
      <c r="B774" s="4"/>
      <c r="C774" s="4"/>
    </row>
    <row r="775" spans="1:3" ht="12" customHeight="1" x14ac:dyDescent="0.25">
      <c r="A775" s="3" t="s">
        <v>232</v>
      </c>
      <c r="B775" s="4"/>
      <c r="C775" s="4"/>
    </row>
    <row r="776" spans="1:3" ht="12" customHeight="1" x14ac:dyDescent="0.25">
      <c r="A776" s="3" t="s">
        <v>233</v>
      </c>
      <c r="B776" s="4"/>
      <c r="C776" s="4"/>
    </row>
    <row r="777" spans="1:3" ht="12" customHeight="1" x14ac:dyDescent="0.25">
      <c r="A777" s="51"/>
      <c r="B777" s="52"/>
      <c r="C777" s="52"/>
    </row>
    <row r="778" spans="1:3" ht="12" customHeight="1" x14ac:dyDescent="0.25">
      <c r="A778" s="51"/>
      <c r="B778" s="52"/>
      <c r="C778" s="52"/>
    </row>
    <row r="779" spans="1:3" ht="12" customHeight="1" x14ac:dyDescent="0.25">
      <c r="A779" s="51"/>
      <c r="B779" s="52"/>
      <c r="C779" s="52"/>
    </row>
    <row r="780" spans="1:3" ht="12" customHeight="1" x14ac:dyDescent="0.25">
      <c r="A780" s="51"/>
      <c r="B780" s="52"/>
      <c r="C780" s="52"/>
    </row>
    <row r="781" spans="1:3" ht="12" customHeight="1" x14ac:dyDescent="0.25">
      <c r="A781" s="51"/>
      <c r="B781" s="52"/>
      <c r="C781" s="52"/>
    </row>
    <row r="782" spans="1:3" ht="12" customHeight="1" x14ac:dyDescent="0.25">
      <c r="A782" s="4"/>
      <c r="B782" s="4"/>
      <c r="C782" s="4"/>
    </row>
    <row r="783" spans="1:3" ht="12" customHeight="1" x14ac:dyDescent="0.25">
      <c r="A783" s="4"/>
      <c r="B783" s="4"/>
      <c r="C783" s="4"/>
    </row>
    <row r="784" spans="1:3" ht="12" customHeight="1" x14ac:dyDescent="0.25">
      <c r="A784" s="20" t="s">
        <v>220</v>
      </c>
      <c r="B784" s="4"/>
      <c r="C784" s="4"/>
    </row>
    <row r="785" spans="1:3" ht="12" customHeight="1" x14ac:dyDescent="0.25">
      <c r="A785" s="18" t="s">
        <v>593</v>
      </c>
      <c r="B785" s="4"/>
      <c r="C785" s="52"/>
    </row>
    <row r="786" spans="1:3" ht="12" customHeight="1" x14ac:dyDescent="0.25">
      <c r="A786" s="4"/>
      <c r="B786" s="4"/>
      <c r="C786" s="52"/>
    </row>
    <row r="787" spans="1:3" ht="12" customHeight="1" x14ac:dyDescent="0.25">
      <c r="A787" s="18" t="s">
        <v>45</v>
      </c>
      <c r="B787" s="4"/>
      <c r="C787" s="52"/>
    </row>
    <row r="788" spans="1:3" ht="12" customHeight="1" x14ac:dyDescent="0.25">
      <c r="A788" s="18" t="str">
        <f>A732</f>
        <v xml:space="preserve">          DECEMBER 31, 2016</v>
      </c>
      <c r="B788" s="4"/>
      <c r="C788" s="52"/>
    </row>
    <row r="789" spans="1:3" ht="12" customHeight="1" x14ac:dyDescent="0.25">
      <c r="A789" s="5" t="str">
        <f>T(A$23)</f>
        <v/>
      </c>
      <c r="B789" s="4"/>
      <c r="C789" s="52"/>
    </row>
    <row r="790" spans="1:3" ht="12" customHeight="1" x14ac:dyDescent="0.25">
      <c r="A790" s="4"/>
      <c r="B790" s="4"/>
      <c r="C790" s="52"/>
    </row>
    <row r="791" spans="1:3" ht="12" customHeight="1" x14ac:dyDescent="0.25">
      <c r="A791" s="20" t="s">
        <v>400</v>
      </c>
      <c r="B791" s="4"/>
      <c r="C791" s="52"/>
    </row>
    <row r="792" spans="1:3" ht="12" customHeight="1" x14ac:dyDescent="0.25">
      <c r="A792" s="9"/>
      <c r="B792" s="4"/>
      <c r="C792" s="52"/>
    </row>
    <row r="793" spans="1:3" ht="12" customHeight="1" x14ac:dyDescent="0.25">
      <c r="A793" s="20" t="s">
        <v>221</v>
      </c>
      <c r="B793" s="4"/>
      <c r="C793" s="52"/>
    </row>
    <row r="794" spans="1:3" ht="12" customHeight="1" x14ac:dyDescent="0.25">
      <c r="A794" s="20" t="s">
        <v>222</v>
      </c>
      <c r="B794" s="4"/>
      <c r="C794" s="52"/>
    </row>
    <row r="795" spans="1:3" ht="12" customHeight="1" x14ac:dyDescent="0.25">
      <c r="A795" s="3" t="s">
        <v>73</v>
      </c>
      <c r="B795" s="4"/>
      <c r="C795" s="4"/>
    </row>
    <row r="796" spans="1:3" ht="12" customHeight="1" x14ac:dyDescent="0.25">
      <c r="A796" s="53"/>
      <c r="B796" s="52"/>
      <c r="C796" s="52"/>
    </row>
    <row r="797" spans="1:3" ht="12" customHeight="1" x14ac:dyDescent="0.25">
      <c r="A797" s="3" t="s">
        <v>235</v>
      </c>
      <c r="B797" s="4"/>
      <c r="C797" s="4"/>
    </row>
    <row r="798" spans="1:3" ht="12" customHeight="1" x14ac:dyDescent="0.25">
      <c r="A798" s="3" t="s">
        <v>236</v>
      </c>
      <c r="B798" s="4"/>
      <c r="C798" s="4"/>
    </row>
    <row r="799" spans="1:3" ht="12" customHeight="1" x14ac:dyDescent="0.25">
      <c r="A799" s="3" t="s">
        <v>237</v>
      </c>
      <c r="B799" s="4"/>
      <c r="C799" s="4"/>
    </row>
    <row r="800" spans="1:3" ht="12" customHeight="1" x14ac:dyDescent="0.25">
      <c r="A800" s="3" t="s">
        <v>238</v>
      </c>
      <c r="B800" s="4"/>
      <c r="C800" s="4"/>
    </row>
    <row r="801" spans="1:3" ht="12" customHeight="1" x14ac:dyDescent="0.25">
      <c r="A801" s="3" t="s">
        <v>239</v>
      </c>
      <c r="B801" s="4"/>
      <c r="C801" s="4"/>
    </row>
    <row r="802" spans="1:3" ht="12" customHeight="1" x14ac:dyDescent="0.25">
      <c r="A802" s="3" t="s">
        <v>240</v>
      </c>
      <c r="B802" s="4"/>
      <c r="C802" s="4"/>
    </row>
    <row r="803" spans="1:3" ht="12" customHeight="1" x14ac:dyDescent="0.25">
      <c r="A803" s="3" t="s">
        <v>241</v>
      </c>
      <c r="B803" s="4"/>
      <c r="C803" s="4"/>
    </row>
    <row r="804" spans="1:3" ht="12" customHeight="1" x14ac:dyDescent="0.25">
      <c r="A804" s="4" t="s">
        <v>242</v>
      </c>
      <c r="B804" s="4"/>
      <c r="C804" s="4"/>
    </row>
    <row r="805" spans="1:3" ht="12" customHeight="1" x14ac:dyDescent="0.25">
      <c r="A805" s="4" t="s">
        <v>243</v>
      </c>
      <c r="B805" s="4"/>
      <c r="C805" s="4"/>
    </row>
    <row r="806" spans="1:3" ht="12" customHeight="1" x14ac:dyDescent="0.25">
      <c r="A806" s="4"/>
      <c r="B806" s="4"/>
      <c r="C806" s="4"/>
    </row>
    <row r="807" spans="1:3" ht="12" customHeight="1" x14ac:dyDescent="0.25">
      <c r="A807" s="3" t="s">
        <v>244</v>
      </c>
      <c r="B807" s="4"/>
      <c r="C807" s="4"/>
    </row>
    <row r="808" spans="1:3" ht="12" customHeight="1" x14ac:dyDescent="0.25">
      <c r="A808" s="3" t="s">
        <v>245</v>
      </c>
      <c r="B808" s="4"/>
      <c r="C808" s="4"/>
    </row>
    <row r="809" spans="1:3" ht="12" customHeight="1" x14ac:dyDescent="0.25">
      <c r="A809" s="3" t="s">
        <v>246</v>
      </c>
      <c r="B809" s="4"/>
      <c r="C809" s="4"/>
    </row>
    <row r="810" spans="1:3" ht="12" customHeight="1" x14ac:dyDescent="0.25">
      <c r="A810" s="3" t="s">
        <v>247</v>
      </c>
      <c r="B810" s="4"/>
      <c r="C810" s="4"/>
    </row>
    <row r="811" spans="1:3" ht="12" customHeight="1" x14ac:dyDescent="0.25">
      <c r="A811" s="3" t="s">
        <v>248</v>
      </c>
      <c r="B811" s="4"/>
      <c r="C811" s="4"/>
    </row>
    <row r="812" spans="1:3" ht="12" customHeight="1" x14ac:dyDescent="0.25">
      <c r="A812" s="3" t="s">
        <v>249</v>
      </c>
      <c r="B812" s="4"/>
      <c r="C812" s="4"/>
    </row>
    <row r="813" spans="1:3" ht="12" customHeight="1" x14ac:dyDescent="0.25">
      <c r="A813" s="3" t="s">
        <v>250</v>
      </c>
      <c r="B813" s="4"/>
      <c r="C813" s="4"/>
    </row>
    <row r="814" spans="1:3" ht="12" customHeight="1" x14ac:dyDescent="0.25">
      <c r="A814" s="3"/>
      <c r="B814" s="4"/>
      <c r="C814" s="4"/>
    </row>
    <row r="815" spans="1:3" ht="12" customHeight="1" x14ac:dyDescent="0.25">
      <c r="A815" s="3" t="s">
        <v>251</v>
      </c>
      <c r="B815" s="4"/>
      <c r="C815" s="4"/>
    </row>
    <row r="816" spans="1:3" ht="12" customHeight="1" x14ac:dyDescent="0.25">
      <c r="A816" s="4" t="s">
        <v>252</v>
      </c>
      <c r="B816" s="4"/>
      <c r="C816" s="4"/>
    </row>
    <row r="817" spans="1:3" ht="12" customHeight="1" x14ac:dyDescent="0.25">
      <c r="A817" s="4"/>
      <c r="B817" s="4"/>
      <c r="C817" s="4"/>
    </row>
    <row r="818" spans="1:3" ht="12" customHeight="1" x14ac:dyDescent="0.25">
      <c r="A818" s="3" t="s">
        <v>567</v>
      </c>
      <c r="B818" s="4"/>
      <c r="C818" s="4"/>
    </row>
    <row r="819" spans="1:3" ht="12" customHeight="1" x14ac:dyDescent="0.25">
      <c r="A819" s="3" t="s">
        <v>253</v>
      </c>
      <c r="B819" s="4"/>
      <c r="C819" s="4"/>
    </row>
    <row r="820" spans="1:3" ht="12" customHeight="1" x14ac:dyDescent="0.25">
      <c r="A820" s="3" t="s">
        <v>254</v>
      </c>
      <c r="B820" s="4"/>
      <c r="C820" s="4"/>
    </row>
    <row r="821" spans="1:3" ht="12" customHeight="1" x14ac:dyDescent="0.25">
      <c r="A821" s="4" t="s">
        <v>255</v>
      </c>
      <c r="B821" s="4"/>
      <c r="C821" s="4"/>
    </row>
    <row r="822" spans="1:3" ht="12" customHeight="1" x14ac:dyDescent="0.25">
      <c r="A822" s="4" t="s">
        <v>424</v>
      </c>
      <c r="B822" s="4"/>
      <c r="C822" s="4"/>
    </row>
    <row r="823" spans="1:3" ht="12" customHeight="1" x14ac:dyDescent="0.25">
      <c r="A823" s="3"/>
      <c r="B823" s="4"/>
      <c r="C823" s="4"/>
    </row>
    <row r="824" spans="1:3" ht="12" customHeight="1" x14ac:dyDescent="0.25">
      <c r="A824" s="3" t="s">
        <v>256</v>
      </c>
      <c r="B824" s="4"/>
      <c r="C824" s="4"/>
    </row>
    <row r="825" spans="1:3" ht="12" customHeight="1" x14ac:dyDescent="0.25">
      <c r="A825" s="3" t="s">
        <v>425</v>
      </c>
      <c r="B825" s="4"/>
      <c r="C825" s="4"/>
    </row>
    <row r="826" spans="1:3" ht="12" customHeight="1" x14ac:dyDescent="0.25">
      <c r="A826" s="3" t="s">
        <v>257</v>
      </c>
      <c r="B826" s="4"/>
      <c r="C826" s="4"/>
    </row>
    <row r="827" spans="1:3" ht="12" customHeight="1" x14ac:dyDescent="0.25">
      <c r="A827" s="3" t="s">
        <v>568</v>
      </c>
      <c r="B827" s="4"/>
      <c r="C827" s="4"/>
    </row>
    <row r="828" spans="1:3" ht="12" customHeight="1" x14ac:dyDescent="0.25">
      <c r="A828" s="3" t="s">
        <v>569</v>
      </c>
      <c r="B828" s="4"/>
      <c r="C828" s="4"/>
    </row>
    <row r="829" spans="1:3" ht="12" customHeight="1" x14ac:dyDescent="0.25">
      <c r="A829" s="3" t="s">
        <v>258</v>
      </c>
      <c r="B829" s="4"/>
      <c r="C829" s="4"/>
    </row>
    <row r="830" spans="1:3" ht="12" customHeight="1" x14ac:dyDescent="0.25">
      <c r="A830" s="3" t="s">
        <v>259</v>
      </c>
      <c r="B830" s="4"/>
      <c r="C830" s="4"/>
    </row>
    <row r="831" spans="1:3" ht="12" customHeight="1" x14ac:dyDescent="0.25">
      <c r="A831" s="3" t="s">
        <v>260</v>
      </c>
      <c r="B831" s="4"/>
      <c r="C831" s="4"/>
    </row>
    <row r="832" spans="1:3" ht="12" customHeight="1" x14ac:dyDescent="0.25">
      <c r="A832" s="3" t="s">
        <v>261</v>
      </c>
      <c r="B832" s="4"/>
      <c r="C832" s="4"/>
    </row>
    <row r="833" spans="1:3" ht="12" customHeight="1" x14ac:dyDescent="0.25">
      <c r="A833" s="3" t="s">
        <v>262</v>
      </c>
      <c r="B833" s="4"/>
      <c r="C833" s="4"/>
    </row>
    <row r="834" spans="1:3" ht="12" customHeight="1" x14ac:dyDescent="0.25">
      <c r="A834" s="3" t="s">
        <v>263</v>
      </c>
      <c r="B834" s="4"/>
      <c r="C834" s="4"/>
    </row>
    <row r="835" spans="1:3" ht="12" customHeight="1" x14ac:dyDescent="0.25">
      <c r="A835" s="3"/>
      <c r="B835" s="4"/>
      <c r="C835" s="4"/>
    </row>
    <row r="836" spans="1:3" ht="12" customHeight="1" x14ac:dyDescent="0.25">
      <c r="A836" s="3"/>
      <c r="B836" s="4"/>
      <c r="C836" s="4"/>
    </row>
    <row r="837" spans="1:3" ht="12" customHeight="1" x14ac:dyDescent="0.25">
      <c r="A837" s="3"/>
      <c r="B837" s="4"/>
      <c r="C837" s="4"/>
    </row>
    <row r="838" spans="1:3" ht="12" customHeight="1" x14ac:dyDescent="0.25">
      <c r="A838" s="53" t="s">
        <v>234</v>
      </c>
      <c r="B838" s="52"/>
      <c r="C838" s="52"/>
    </row>
    <row r="839" spans="1:3" ht="12" customHeight="1" x14ac:dyDescent="0.25">
      <c r="A839" s="18" t="s">
        <v>593</v>
      </c>
      <c r="B839" s="4"/>
      <c r="C839" s="4"/>
    </row>
    <row r="840" spans="1:3" ht="12" customHeight="1" x14ac:dyDescent="0.25">
      <c r="A840" s="4"/>
      <c r="B840" s="4"/>
      <c r="C840" s="4"/>
    </row>
    <row r="841" spans="1:3" ht="12" customHeight="1" x14ac:dyDescent="0.25">
      <c r="A841" s="18" t="s">
        <v>45</v>
      </c>
      <c r="B841" s="4"/>
      <c r="C841" s="4"/>
    </row>
    <row r="842" spans="1:3" ht="12" customHeight="1" x14ac:dyDescent="0.25">
      <c r="A842" s="18" t="str">
        <f>A788</f>
        <v xml:space="preserve">          DECEMBER 31, 2016</v>
      </c>
      <c r="B842" s="4"/>
      <c r="C842" s="4"/>
    </row>
    <row r="843" spans="1:3" ht="12" customHeight="1" x14ac:dyDescent="0.25">
      <c r="A843" s="5" t="str">
        <f>T(A$23)</f>
        <v/>
      </c>
      <c r="B843" s="4"/>
      <c r="C843" s="4"/>
    </row>
    <row r="844" spans="1:3" ht="12" customHeight="1" x14ac:dyDescent="0.25">
      <c r="A844" s="4"/>
      <c r="B844" s="4"/>
      <c r="C844" s="4"/>
    </row>
    <row r="845" spans="1:3" ht="12" customHeight="1" x14ac:dyDescent="0.25">
      <c r="A845" s="4"/>
      <c r="B845" s="4"/>
      <c r="C845" s="4"/>
    </row>
    <row r="846" spans="1:3" ht="12" customHeight="1" x14ac:dyDescent="0.25">
      <c r="A846" s="20" t="s">
        <v>400</v>
      </c>
      <c r="B846" s="4"/>
      <c r="C846" s="4"/>
    </row>
    <row r="847" spans="1:3" ht="12" customHeight="1" x14ac:dyDescent="0.25">
      <c r="A847" s="9"/>
      <c r="B847" s="4"/>
      <c r="C847" s="4"/>
    </row>
    <row r="848" spans="1:3" ht="12" customHeight="1" x14ac:dyDescent="0.25">
      <c r="A848" s="20" t="s">
        <v>221</v>
      </c>
      <c r="B848" s="4"/>
      <c r="C848" s="4"/>
    </row>
    <row r="849" spans="1:3" ht="12" customHeight="1" x14ac:dyDescent="0.25">
      <c r="A849" s="20" t="s">
        <v>222</v>
      </c>
      <c r="B849" s="4"/>
      <c r="C849" s="4"/>
    </row>
    <row r="850" spans="1:3" ht="12" customHeight="1" x14ac:dyDescent="0.25">
      <c r="A850" s="20" t="s">
        <v>89</v>
      </c>
      <c r="B850" s="4"/>
      <c r="C850" s="4"/>
    </row>
    <row r="851" spans="1:3" ht="12" customHeight="1" x14ac:dyDescent="0.25">
      <c r="A851" s="9"/>
      <c r="B851" s="4"/>
      <c r="C851" s="4"/>
    </row>
    <row r="852" spans="1:3" ht="12" customHeight="1" x14ac:dyDescent="0.25">
      <c r="A852" s="3" t="s">
        <v>265</v>
      </c>
      <c r="B852" s="4"/>
      <c r="C852" s="4"/>
    </row>
    <row r="853" spans="1:3" ht="12" customHeight="1" x14ac:dyDescent="0.25">
      <c r="A853" s="4"/>
      <c r="B853" s="4"/>
      <c r="C853" s="4"/>
    </row>
    <row r="854" spans="1:3" ht="12" customHeight="1" x14ac:dyDescent="0.25">
      <c r="A854" s="3" t="str">
        <f>"           As of January 1, "&amp;Calculations!B9&amp;"                   Age    Rate           Age    Rate           Age    Rate"</f>
        <v xml:space="preserve">           As of January 1, 2016                   Age    Rate           Age    Rate           Age    Rate</v>
      </c>
      <c r="B854" s="4"/>
      <c r="C854" s="4"/>
    </row>
    <row r="855" spans="1:3" ht="12" customHeight="1" x14ac:dyDescent="0.25">
      <c r="A855" s="3" t="s">
        <v>266</v>
      </c>
      <c r="B855" s="4"/>
      <c r="C855" s="4"/>
    </row>
    <row r="856" spans="1:3" ht="12" customHeight="1" x14ac:dyDescent="0.25">
      <c r="A856" s="4" t="s">
        <v>267</v>
      </c>
      <c r="B856" s="4"/>
      <c r="C856" s="4"/>
    </row>
    <row r="857" spans="1:3" ht="12" customHeight="1" x14ac:dyDescent="0.25">
      <c r="A857" s="4" t="s">
        <v>268</v>
      </c>
      <c r="B857" s="4"/>
      <c r="C857" s="4"/>
    </row>
    <row r="858" spans="1:3" ht="12" customHeight="1" x14ac:dyDescent="0.25">
      <c r="A858" s="4" t="s">
        <v>269</v>
      </c>
      <c r="B858" s="4"/>
      <c r="C858" s="4"/>
    </row>
    <row r="859" spans="1:3" ht="12" customHeight="1" x14ac:dyDescent="0.25">
      <c r="A859" s="4" t="s">
        <v>270</v>
      </c>
      <c r="B859" s="4"/>
      <c r="C859" s="4"/>
    </row>
    <row r="860" spans="1:3" ht="12" customHeight="1" x14ac:dyDescent="0.25">
      <c r="A860" s="4" t="s">
        <v>271</v>
      </c>
      <c r="B860" s="4"/>
      <c r="C860" s="4"/>
    </row>
    <row r="861" spans="1:3" ht="12" customHeight="1" x14ac:dyDescent="0.25">
      <c r="A861" s="4" t="s">
        <v>272</v>
      </c>
      <c r="B861" s="4"/>
      <c r="C861" s="4"/>
    </row>
    <row r="862" spans="1:3" ht="12" customHeight="1" x14ac:dyDescent="0.25">
      <c r="A862" s="4" t="s">
        <v>273</v>
      </c>
      <c r="B862" s="4"/>
      <c r="C862" s="4"/>
    </row>
    <row r="863" spans="1:3" ht="12" customHeight="1" x14ac:dyDescent="0.25">
      <c r="A863" s="4" t="s">
        <v>423</v>
      </c>
      <c r="B863" s="4"/>
      <c r="C863" s="4"/>
    </row>
    <row r="864" spans="1:3" ht="12" customHeight="1" x14ac:dyDescent="0.25">
      <c r="A864" s="4"/>
      <c r="B864" s="4"/>
      <c r="C864" s="4"/>
    </row>
    <row r="865" spans="1:3" ht="12" customHeight="1" x14ac:dyDescent="0.25">
      <c r="A865" s="3" t="str">
        <f>"           As of December 31, "&amp;Calculations!B9&amp;"       Male      Age    Rate           Age    Rate           Age    Rate"</f>
        <v xml:space="preserve">           As of December 31, 2016       Male      Age    Rate           Age    Rate           Age    Rate</v>
      </c>
      <c r="B865" s="4"/>
      <c r="C865" s="4"/>
    </row>
    <row r="866" spans="1:3" ht="12" customHeight="1" x14ac:dyDescent="0.25">
      <c r="A866" s="3" t="s">
        <v>266</v>
      </c>
      <c r="B866" s="4"/>
      <c r="C866" s="4"/>
    </row>
    <row r="867" spans="1:3" ht="12" customHeight="1" x14ac:dyDescent="0.25">
      <c r="A867" s="4" t="str">
        <f>"                                                   "&amp;Calculations!G6&amp;"    $"&amp;LEFT(VLOOKUP(Calculations!G6,Calculations!$G$6:$I$25,2),LEN(VLOOKUP(Calculations!G6,Calculations!$G$6:$I$25,2))-3)&amp;","&amp;RIGHT(VLOOKUP(Calculations!G6,Calculations!$G$6:$I$25,2),3)&amp;"          "&amp;Calculations!G14&amp;"   $"&amp;LEFT(VLOOKUP(Calculations!G14,Calculations!$G$6:$I$25,2),LEN(VLOOKUP(Calculations!G14,Calculations!$G$6:$I$25,2))-3)&amp;","&amp;RIGHT(VLOOKUP(Calculations!G14,Calculations!$G$6:$I$25,2),3)&amp;"          "&amp;Calculations!G22&amp;"    $"&amp;LEFT(VLOOKUP(Calculations!G22,Calculations!$G$6:$I$25,2),LEN(VLOOKUP(Calculations!G22,Calculations!$G$6:$I$25,2))-3)&amp;","&amp;RIGHT(VLOOKUP(Calculations!G22,Calculations!$G$6:$I$25,2),3)</f>
        <v xml:space="preserve">                                                   50    $6,894          58   $10,703          70    $4,212</v>
      </c>
      <c r="B867" s="4"/>
      <c r="C867" s="4"/>
    </row>
    <row r="868" spans="1:3" ht="12" customHeight="1" x14ac:dyDescent="0.25">
      <c r="A868" s="4" t="str">
        <f>"                                                   "&amp;Calculations!G7&amp;"     "&amp;LEFT(VLOOKUP(Calculations!G7,Calculations!G6:I25,2),LEN(VLOOKUP(Calculations!G7,Calculations!G6:I25,2))-3)&amp;","&amp;RIGHT(VLOOKUP(Calculations!G7,Calculations!G6:I25,2),3)&amp;"          "&amp;Calculations!G15&amp;"    "&amp;LEFT(VLOOKUP(Calculations!G15,Calculations!G6:I25,2),LEN(VLOOKUP(Calculations!G15,Calculations!G6:I25,2))-3)&amp;","&amp;RIGHT(VLOOKUP(Calculations!G15,Calculations!G6:I25,2),3)&amp;"          "&amp;Calculations!G23&amp;"     "&amp;LEFT(VLOOKUP(Calculations!G23,Calculations!G6:I25,2),LEN(VLOOKUP(Calculations!G23,Calculations!G6:I25,2))-3)&amp;","&amp;RIGHT(VLOOKUP(Calculations!G23,Calculations!G6:I25,2),3)</f>
        <v xml:space="preserve">                                                   51     7,239          59    11,068          75     4,642</v>
      </c>
      <c r="B868" s="4"/>
      <c r="C868" s="4"/>
    </row>
    <row r="869" spans="1:3" ht="12" customHeight="1" x14ac:dyDescent="0.25">
      <c r="A869" s="4" t="str">
        <f>"                                                   "&amp;Calculations!G8&amp;"     "&amp;LEFT(VLOOKUP(Calculations!G8,Calculations!G7:I26,2),LEN(VLOOKUP(Calculations!G8,Calculations!G7:I26,2))-3)&amp;","&amp;RIGHT(VLOOKUP(Calculations!G8,Calculations!G7:I26,2),3)&amp;"          "&amp;Calculations!G16&amp;"    "&amp;LEFT(VLOOKUP(Calculations!G16,Calculations!G7:I26,2),LEN(VLOOKUP(Calculations!G16,Calculations!G7:I26,2))-3)&amp;","&amp;RIGHT(VLOOKUP(Calculations!G16,Calculations!G7:I26,2),3)&amp;"          "&amp;Calculations!G24&amp;"     "&amp;LEFT(VLOOKUP(Calculations!G24,Calculations!G7:I26,2),LEN(VLOOKUP(Calculations!G24,Calculations!G7:I26,2))-3)&amp;","&amp;RIGHT(VLOOKUP(Calculations!G24,Calculations!G7:I26,2),3)</f>
        <v xml:space="preserve">                                                   52     7,585          60    11,434          80     4,986</v>
      </c>
      <c r="B869" s="4"/>
      <c r="C869" s="4"/>
    </row>
    <row r="870" spans="1:3" ht="12" customHeight="1" x14ac:dyDescent="0.25">
      <c r="A870" s="4" t="str">
        <f>"                                                   "&amp;Calculations!G9&amp;"     "&amp;LEFT(VLOOKUP(Calculations!G9,Calculations!$G$6:$I$25,2),LEN(VLOOKUP(Calculations!G9,Calculations!$G$6:$I$25,2))-3)&amp;","&amp;RIGHT(VLOOKUP(Calculations!G9,Calculations!$G$6:$I$25,2),3)&amp;"          "&amp;Calculations!G17&amp;"    "&amp;LEFT(VLOOKUP(Calculations!G17,Calculations!$G$6:$I$25,2),LEN(VLOOKUP(Calculations!G17,Calculations!$G$6:$I$25,2))-3)&amp;","&amp;RIGHT(VLOOKUP(Calculations!G17,Calculations!$G$6:$I$25,2),3)&amp;"    "&amp;Calculations!G25&amp;" and over  "&amp;LEFT(VLOOKUP(Calculations!G25,Calculations!$G$6:$I$25,2),LEN(VLOOKUP(Calculations!G25,Calculations!$G$6:$I$25,2))-3)&amp;","&amp;RIGHT(VLOOKUP(Calculations!G25,Calculations!$G$6:$I$25,2),3)</f>
        <v xml:space="preserve">                                                   53     8,136          61    11,799    85 and over  5,115</v>
      </c>
      <c r="B870" s="4"/>
      <c r="C870" s="4"/>
    </row>
    <row r="871" spans="1:3" ht="12" customHeight="1" x14ac:dyDescent="0.25">
      <c r="A871" s="4" t="str">
        <f>"                                                   "&amp;Calculations!G10&amp;"     "&amp;LEFT(VLOOKUP(Calculations!G10,Calculations!$G$6:$I$25,2),LEN(VLOOKUP(Calculations!G10,Calculations!$G$6:$I$25,2))-3)&amp;","&amp;RIGHT(VLOOKUP(Calculations!G10,Calculations!$G$6:$I$25,2),3)&amp;"          "&amp;Calculations!G18&amp;"    "&amp;LEFT(VLOOKUP(Calculations!G18,Calculations!$G$6:$I$25,2),LEN(VLOOKUP(Calculations!G18,Calculations!$G$6:$I$25,2))-3)&amp;","&amp;RIGHT(VLOOKUP(Calculations!G18,Calculations!$G$6:$I$25,2),3)</f>
        <v xml:space="preserve">                                                   54     8,686          62    12,165</v>
      </c>
      <c r="B871" s="4"/>
      <c r="C871" s="4"/>
    </row>
    <row r="872" spans="1:3" ht="12" customHeight="1" x14ac:dyDescent="0.25">
      <c r="A872" s="4" t="str">
        <f>"                                                   "&amp;Calculations!G11&amp;"     "&amp;LEFT(VLOOKUP(Calculations!G11,Calculations!$G$6:$I$25,2),LEN(VLOOKUP(Calculations!G11,Calculations!$G$6:$I$25,2))-3)&amp;","&amp;RIGHT(VLOOKUP(Calculations!G11,Calculations!$G$6:$I$25,2),3)&amp;"          "&amp;Calculations!G19&amp;"    "&amp;LEFT(VLOOKUP(Calculations!G19,Calculations!$G$6:$I$25,2),LEN(VLOOKUP(Calculations!G19,Calculations!$G$6:$I$25,2))-3)&amp;","&amp;RIGHT(VLOOKUP(Calculations!G19,Calculations!$G$6:$I$25,2),3)</f>
        <v xml:space="preserve">                                                   55     9,236          63    12,432</v>
      </c>
      <c r="B872" s="4"/>
      <c r="C872" s="4"/>
    </row>
    <row r="873" spans="1:3" ht="12" customHeight="1" x14ac:dyDescent="0.25">
      <c r="A873" s="4" t="str">
        <f>"                                                   "&amp;Calculations!G12&amp;"     "&amp;LEFT(VLOOKUP(Calculations!G12,Calculations!$G$6:$I$25,2),LEN(VLOOKUP(Calculations!G12,Calculations!$G$6:$I$25,2))-3)&amp;","&amp;RIGHT(VLOOKUP(Calculations!G12,Calculations!$G$6:$I$25,2),3)&amp;"          "&amp;Calculations!G20&amp;"    "&amp;LEFT(VLOOKUP(Calculations!G20,Calculations!$G$6:$I$25,2),LEN(VLOOKUP(Calculations!G20,Calculations!$G$6:$I$25,2))-3)&amp;","&amp;RIGHT(VLOOKUP(Calculations!G20,Calculations!$G$6:$I$25,2),3)</f>
        <v xml:space="preserve">                                                   56     9,787          64    12,699</v>
      </c>
      <c r="B873" s="4"/>
      <c r="C873" s="4"/>
    </row>
    <row r="874" spans="1:3" ht="12" customHeight="1" x14ac:dyDescent="0.25">
      <c r="A874" s="4" t="str">
        <f>"                                                   "&amp;Calculations!G13&amp;"    "&amp;LEFT(VLOOKUP(Calculations!G13,Calculations!$G$6:$I$25,2),LEN(VLOOKUP(Calculations!G13,Calculations!$G$6:$I$25,2))-3)&amp;","&amp;RIGHT(VLOOKUP(Calculations!G13,Calculations!$G$6:$I$25,2),3)&amp;"          "&amp;Calculations!G21&amp;"     "&amp;LEFT(VLOOKUP(Calculations!G21,Calculations!$G$6:$I$25,2),LEN(VLOOKUP(Calculations!G21,Calculations!$G$6:$I$25,2))-3)&amp;","&amp;RIGHT(VLOOKUP(Calculations!G21,Calculations!$G$6:$I$25,2),3)</f>
        <v xml:space="preserve">                                                   57    10,337          65     3,631</v>
      </c>
      <c r="B874" s="4"/>
      <c r="C874" s="4"/>
    </row>
    <row r="875" spans="1:3" ht="12" customHeight="1" x14ac:dyDescent="0.25">
      <c r="A875" s="52"/>
      <c r="B875" s="52"/>
      <c r="C875" s="52"/>
    </row>
    <row r="876" spans="1:3" ht="12" customHeight="1" x14ac:dyDescent="0.25">
      <c r="A876" s="23" t="s">
        <v>432</v>
      </c>
      <c r="B876" s="4"/>
      <c r="C876" s="4"/>
    </row>
    <row r="877" spans="1:3" ht="12" customHeight="1" x14ac:dyDescent="0.25">
      <c r="A877" s="3" t="s">
        <v>266</v>
      </c>
      <c r="B877" s="4"/>
      <c r="C877" s="4"/>
    </row>
    <row r="878" spans="1:3" ht="12" customHeight="1" x14ac:dyDescent="0.25">
      <c r="A878" s="4" t="str">
        <f>"                                                   "&amp;Calculations!G6&amp;"   $"&amp;LEFT(VLOOKUP(Calculations!G6,Calculations!$G$6:$I$25,3),LEN(VLOOKUP(Calculations!G6,Calculations!$G$6:$I$25,3))-3)&amp;","&amp;RIGHT(VLOOKUP(Calculations!G6,Calculations!$G$6:$I$25,3),3)&amp;"          "&amp;Calculations!G14&amp;"   $"&amp;LEFT(VLOOKUP(Calculations!G14,Calculations!$G$6:$I$25,3),LEN(VLOOKUP(Calculations!G14,Calculations!$G$6:$I$25,3))-3)&amp;","&amp;RIGHT(VLOOKUP(Calculations!G14,Calculations!$G$6:$I$25,3),3)&amp;"           "&amp;Calculations!G22&amp;"    $"&amp;LEFT(VLOOKUP(Calculations!G22,Calculations!$G$6:$I$25,3),LEN(VLOOKUP(Calculations!G22,Calculations!$G$6:$I$25,3))-3)&amp;","&amp;RIGHT(VLOOKUP(Calculations!G22,Calculations!$G$6:$I$25,3),3)</f>
        <v xml:space="preserve">                                                   50   $8,060          58   $9,846           70    $4,085</v>
      </c>
      <c r="B878" s="4"/>
      <c r="C878" s="4"/>
    </row>
    <row r="879" spans="1:3" ht="12" customHeight="1" x14ac:dyDescent="0.25">
      <c r="A879" s="4" t="str">
        <f>"                                                   "&amp;Calculations!G7&amp;"    "&amp;LEFT(VLOOKUP(Calculations!G7,Calculations!G6:I25,3),LEN(VLOOKUP(Calculations!G7,Calculations!G6:I25,3))-3)&amp;","&amp;RIGHT(VLOOKUP(Calculations!G7,Calculations!G6:I25,3),3)&amp;"          "&amp;Calculations!G15&amp;"    "&amp;LEFT(VLOOKUP(Calculations!G15,Calculations!G6:I25,3),LEN(VLOOKUP(Calculations!G15,Calculations!G6:I25,3))-3)&amp;","&amp;RIGHT(VLOOKUP(Calculations!G15,Calculations!G6:I25,3),3)&amp;"           "&amp;Calculations!G23&amp;"     "&amp;LEFT(VLOOKUP(Calculations!G23,Calculations!G6:I25,3),LEN(VLOOKUP(Calculations!G23,Calculations!G6:I25,3))-3)&amp;","&amp;RIGHT(VLOOKUP(Calculations!G23,Calculations!G6:I25,3),3)</f>
        <v xml:space="preserve">                                                   51    8,307          59    9,984           75     4,859</v>
      </c>
      <c r="B879" s="4"/>
      <c r="C879" s="4"/>
    </row>
    <row r="880" spans="1:3" ht="12" customHeight="1" x14ac:dyDescent="0.25">
      <c r="A880" s="4" t="str">
        <f>"                                                   "&amp;Calculations!G8&amp;"    "&amp;LEFT(VLOOKUP(Calculations!G8,Calculations!G6:I25,3),LEN(VLOOKUP(Calculations!G8,Calculations!G6:I25,3))-3)&amp;","&amp;RIGHT(VLOOKUP(Calculations!G8,Calculations!G6:I25,3),3)&amp;"          "&amp;Calculations!G16&amp;"   "&amp;LEFT(VLOOKUP(Calculations!G16,Calculations!G6:I25,3),LEN(VLOOKUP(Calculations!G16,Calculations!G6:I25,3))-3)&amp;","&amp;RIGHT(VLOOKUP(Calculations!G16,Calculations!G6:I25,3),3)&amp;"           "&amp;Calculations!G24&amp;"     "&amp;LEFT(VLOOKUP(Calculations!G24,Calculations!G6:I25,3),LEN(VLOOKUP(Calculations!G24,Calculations!G6:I25,3))-3)&amp;","&amp;RIGHT(VLOOKUP(Calculations!G24,Calculations!G6:I25,3),3)</f>
        <v xml:space="preserve">                                                   52    8,555          60   10,123           80     5,479</v>
      </c>
      <c r="B880" s="4"/>
      <c r="C880" s="4"/>
    </row>
    <row r="881" spans="1:3" ht="12" customHeight="1" x14ac:dyDescent="0.25">
      <c r="A881" s="4" t="str">
        <f>"                                                   "&amp;Calculations!G9&amp;"    "&amp;LEFT(VLOOKUP(Calculations!G9,Calculations!G6:I25,3),LEN(VLOOKUP(Calculations!G9,Calculations!G6:I25,3))-3)&amp;","&amp;RIGHT(VLOOKUP(Calculations!G9,Calculations!G6:I25,3),3)&amp;"          "&amp;Calculations!G17&amp;"   "&amp;LEFT(VLOOKUP(Calculations!G17,Calculations!G6:I25,3),LEN(VLOOKUP(Calculations!G17,Calculations!G6:I25,3))-3)&amp;","&amp;RIGHT(VLOOKUP(Calculations!G17,Calculations!G6:I25,3),3)&amp;"     "&amp;Calculations!G25&amp;" and over  "&amp;LEFT(VLOOKUP(Calculations!G25,Calculations!G6:I25,3),LEN(VLOOKUP(Calculations!G25,Calculations!G6:I25,3))-3)&amp;","&amp;RIGHT(VLOOKUP(Calculations!G25,Calculations!G6:I25,3),3)</f>
        <v xml:space="preserve">                                                   53    8,785          61   10,261     85 and over  5,725</v>
      </c>
      <c r="B881" s="4"/>
      <c r="C881" s="4"/>
    </row>
    <row r="882" spans="1:3" ht="12" customHeight="1" x14ac:dyDescent="0.25">
      <c r="A882" s="4" t="str">
        <f>"                                                   "&amp;Calculations!G10&amp;"    "&amp;LEFT(VLOOKUP(Calculations!G10,Calculations!G6:I25,3),LEN(VLOOKUP(Calculations!G10,Calculations!G6:I25,3))-3)&amp;","&amp;RIGHT(VLOOKUP(Calculations!G10,Calculations!G6:I25,3),3)&amp;"          "&amp;Calculations!G18&amp;"   "&amp;LEFT(VLOOKUP(Calculations!G18,Calculations!G6:I25,3),LEN(VLOOKUP(Calculations!G18,Calculations!G6:I25,3))-3)&amp;","&amp;RIGHT(VLOOKUP(Calculations!G18,Calculations!G6:I25,3),3)</f>
        <v xml:space="preserve">                                                   54    9,016          62   10,399</v>
      </c>
      <c r="B882" s="4"/>
      <c r="C882" s="4"/>
    </row>
    <row r="883" spans="1:3" ht="12" customHeight="1" x14ac:dyDescent="0.25">
      <c r="A883" s="4" t="str">
        <f>"                                                   "&amp;Calculations!G11&amp;"    "&amp;LEFT(VLOOKUP(Calculations!G11,Calculations!G6:I25,3),LEN(VLOOKUP(Calculations!G11,Calculations!G6:I25,3))-3)&amp;","&amp;RIGHT(VLOOKUP(Calculations!G11,Calculations!G6:I25,3),3)&amp;"          "&amp;Calculations!G19&amp;"   "&amp;LEFT(VLOOKUP(Calculations!G19,Calculations!G6:I25,3),LEN(VLOOKUP(Calculations!G19,Calculations!G6:I25,3))-3)&amp;","&amp;RIGHT(VLOOKUP(Calculations!G19,Calculations!G6:I25,3),3)</f>
        <v xml:space="preserve">                                                   55    9,246          63   10,572</v>
      </c>
      <c r="B883" s="4"/>
      <c r="C883" s="4"/>
    </row>
    <row r="884" spans="1:3" ht="12" customHeight="1" x14ac:dyDescent="0.25">
      <c r="A884" s="4" t="str">
        <f>"                                                   "&amp;Calculations!G12&amp;"    "&amp;LEFT(VLOOKUP(Calculations!G12,Calculations!G6:I25,3),LEN(VLOOKUP(Calculations!G12,Calculations!G6:I25,3))-3)&amp;","&amp;RIGHT(VLOOKUP(Calculations!G12,Calculations!G6:I25,3),3)&amp;"          "&amp;Calculations!G20&amp;"   "&amp;LEFT(VLOOKUP(Calculations!G20,Calculations!G6:I25,3),LEN(VLOOKUP(Calculations!G20,Calculations!G6:I25,3))-3)&amp;","&amp;RIGHT(VLOOKUP(Calculations!G20,Calculations!G6:I25,3),3)</f>
        <v xml:space="preserve">                                                   56    9,477          64   10,745</v>
      </c>
      <c r="B884" s="4"/>
      <c r="C884" s="4"/>
    </row>
    <row r="885" spans="1:3" ht="12" customHeight="1" x14ac:dyDescent="0.25">
      <c r="A885" s="4" t="str">
        <f>"                                                   "&amp;Calculations!G13&amp;"    "&amp;LEFT(VLOOKUP(Calculations!G13,Calculations!G6:I25,3),LEN(VLOOKUP(Calculations!G13,Calculations!G6:I25,3))-3)&amp;","&amp;RIGHT(VLOOKUP(Calculations!G13,Calculations!G6:I25,3),3)&amp;"          "&amp;Calculations!G21&amp;"    "&amp;LEFT(VLOOKUP(Calculations!G21,Calculations!G6:I25,3),LEN(VLOOKUP(Calculations!G21,Calculations!G6:I25,3))-3)&amp;","&amp;RIGHT(VLOOKUP(Calculations!G21,Calculations!G6:I25,3),3)</f>
        <v xml:space="preserve">                                                   57    9,707          65    3,562</v>
      </c>
      <c r="B885" s="4"/>
      <c r="C885" s="4"/>
    </row>
    <row r="886" spans="1:3" ht="12" customHeight="1" x14ac:dyDescent="0.25">
      <c r="A886" s="4"/>
      <c r="B886" s="4"/>
      <c r="C886" s="4"/>
    </row>
    <row r="887" spans="1:3" ht="12" customHeight="1" x14ac:dyDescent="0.25">
      <c r="A887" s="4" t="s">
        <v>274</v>
      </c>
      <c r="B887" s="4"/>
      <c r="C887" s="4"/>
    </row>
    <row r="888" spans="1:3" ht="12" customHeight="1" x14ac:dyDescent="0.25">
      <c r="A888" s="4" t="s">
        <v>275</v>
      </c>
      <c r="B888" s="4"/>
      <c r="C888" s="4"/>
    </row>
    <row r="889" spans="1:3" ht="12" customHeight="1" x14ac:dyDescent="0.25">
      <c r="A889" s="4" t="s">
        <v>276</v>
      </c>
      <c r="B889" s="4"/>
      <c r="C889" s="4"/>
    </row>
    <row r="890" spans="1:3" ht="12" customHeight="1" x14ac:dyDescent="0.25">
      <c r="A890" s="4"/>
      <c r="B890" s="4"/>
      <c r="C890" s="4"/>
    </row>
    <row r="891" spans="1:3" ht="12" customHeight="1" x14ac:dyDescent="0.25">
      <c r="A891" s="4" t="s">
        <v>277</v>
      </c>
      <c r="B891" s="4"/>
      <c r="C891" s="4"/>
    </row>
    <row r="892" spans="1:3" ht="12" customHeight="1" x14ac:dyDescent="0.25">
      <c r="A892" s="4" t="s">
        <v>278</v>
      </c>
      <c r="B892" s="4"/>
      <c r="C892" s="4"/>
    </row>
    <row r="893" spans="1:3" ht="12" customHeight="1" x14ac:dyDescent="0.25">
      <c r="A893" s="4" t="s">
        <v>279</v>
      </c>
      <c r="B893" s="4"/>
      <c r="C893" s="4"/>
    </row>
    <row r="894" spans="1:3" ht="12" customHeight="1" x14ac:dyDescent="0.25">
      <c r="A894" s="4" t="s">
        <v>280</v>
      </c>
      <c r="B894" s="4"/>
      <c r="C894" s="4"/>
    </row>
    <row r="895" spans="1:3" ht="12" customHeight="1" x14ac:dyDescent="0.25">
      <c r="A895" s="4" t="s">
        <v>281</v>
      </c>
      <c r="B895" s="4"/>
      <c r="C895" s="4"/>
    </row>
    <row r="896" spans="1:3" ht="12" customHeight="1" x14ac:dyDescent="0.25">
      <c r="A896" s="4" t="s">
        <v>282</v>
      </c>
      <c r="B896" s="4"/>
      <c r="C896" s="4"/>
    </row>
    <row r="897" spans="1:3" ht="12" customHeight="1" x14ac:dyDescent="0.25">
      <c r="A897" s="52"/>
      <c r="B897" s="52"/>
      <c r="C897" s="52"/>
    </row>
    <row r="898" spans="1:3" ht="12" customHeight="1" x14ac:dyDescent="0.25">
      <c r="A898" s="52"/>
      <c r="B898" s="52"/>
      <c r="C898" s="52"/>
    </row>
    <row r="899" spans="1:3" ht="12" customHeight="1" x14ac:dyDescent="0.25">
      <c r="A899" s="52"/>
      <c r="B899" s="52"/>
      <c r="C899" s="52"/>
    </row>
    <row r="900" spans="1:3" ht="12" customHeight="1" x14ac:dyDescent="0.25">
      <c r="A900" s="52"/>
      <c r="B900" s="52"/>
      <c r="C900" s="52"/>
    </row>
    <row r="901" spans="1:3" ht="12" customHeight="1" x14ac:dyDescent="0.25">
      <c r="A901" s="52"/>
      <c r="B901" s="52"/>
      <c r="C901" s="52"/>
    </row>
    <row r="902" spans="1:3" ht="12" customHeight="1" x14ac:dyDescent="0.25">
      <c r="A902" s="53" t="s">
        <v>264</v>
      </c>
      <c r="B902" s="52"/>
      <c r="C902" s="52"/>
    </row>
    <row r="903" spans="1:3" ht="12" customHeight="1" x14ac:dyDescent="0.25">
      <c r="A903" s="52"/>
      <c r="B903" s="52"/>
      <c r="C903" s="52"/>
    </row>
    <row r="904" spans="1:3" ht="12" customHeight="1" x14ac:dyDescent="0.25">
      <c r="A904" s="18" t="s">
        <v>593</v>
      </c>
      <c r="B904" s="4"/>
      <c r="C904" s="4"/>
    </row>
    <row r="905" spans="1:3" ht="12" customHeight="1" x14ac:dyDescent="0.25">
      <c r="A905" s="4"/>
      <c r="B905" s="4"/>
      <c r="C905" s="4"/>
    </row>
    <row r="906" spans="1:3" ht="12" customHeight="1" x14ac:dyDescent="0.25">
      <c r="A906" s="18" t="s">
        <v>45</v>
      </c>
      <c r="B906" s="4"/>
      <c r="C906" s="4"/>
    </row>
    <row r="907" spans="1:3" ht="12" customHeight="1" x14ac:dyDescent="0.25">
      <c r="A907" s="18" t="str">
        <f>A842</f>
        <v xml:space="preserve">          DECEMBER 31, 2016</v>
      </c>
      <c r="B907" s="4"/>
      <c r="C907" s="4"/>
    </row>
    <row r="908" spans="1:3" ht="12" customHeight="1" x14ac:dyDescent="0.25">
      <c r="A908" s="5" t="str">
        <f>T(A$23)</f>
        <v/>
      </c>
      <c r="B908" s="4"/>
      <c r="C908" s="4"/>
    </row>
    <row r="909" spans="1:3" ht="12" customHeight="1" x14ac:dyDescent="0.25">
      <c r="A909" s="4"/>
      <c r="B909" s="4"/>
      <c r="C909" s="4"/>
    </row>
    <row r="910" spans="1:3" ht="12" customHeight="1" x14ac:dyDescent="0.25">
      <c r="A910" s="4"/>
      <c r="B910" s="4"/>
      <c r="C910" s="4"/>
    </row>
    <row r="911" spans="1:3" ht="12" customHeight="1" x14ac:dyDescent="0.25">
      <c r="A911" s="20" t="s">
        <v>400</v>
      </c>
      <c r="B911" s="4"/>
      <c r="C911" s="4"/>
    </row>
    <row r="912" spans="1:3" ht="12" customHeight="1" x14ac:dyDescent="0.25">
      <c r="A912" s="9"/>
      <c r="B912" s="4"/>
      <c r="C912" s="4"/>
    </row>
    <row r="913" spans="1:3" ht="12" customHeight="1" x14ac:dyDescent="0.25">
      <c r="A913" s="20" t="s">
        <v>221</v>
      </c>
      <c r="B913" s="4"/>
      <c r="C913" s="4"/>
    </row>
    <row r="914" spans="1:3" ht="12" customHeight="1" x14ac:dyDescent="0.25">
      <c r="A914" s="20" t="s">
        <v>222</v>
      </c>
      <c r="B914" s="4"/>
      <c r="C914" s="4"/>
    </row>
    <row r="915" spans="1:3" ht="12" customHeight="1" x14ac:dyDescent="0.25">
      <c r="A915" s="20" t="s">
        <v>89</v>
      </c>
      <c r="B915" s="4"/>
      <c r="C915" s="4"/>
    </row>
    <row r="916" spans="1:3" ht="12" customHeight="1" x14ac:dyDescent="0.25">
      <c r="A916" s="9"/>
      <c r="B916" s="4"/>
      <c r="C916" s="4"/>
    </row>
    <row r="917" spans="1:3" ht="12" customHeight="1" x14ac:dyDescent="0.25">
      <c r="A917" s="4"/>
      <c r="B917" s="4"/>
      <c r="C917" s="4"/>
    </row>
    <row r="918" spans="1:3" ht="12" customHeight="1" x14ac:dyDescent="0.25">
      <c r="A918" s="3" t="s">
        <v>284</v>
      </c>
      <c r="B918" s="4"/>
      <c r="C918" s="4"/>
    </row>
    <row r="919" spans="1:3" ht="12" customHeight="1" x14ac:dyDescent="0.25">
      <c r="A919" s="3" t="s">
        <v>285</v>
      </c>
      <c r="B919" s="4"/>
      <c r="C919" s="4"/>
    </row>
    <row r="920" spans="1:3" ht="12" customHeight="1" x14ac:dyDescent="0.25">
      <c r="A920" s="3" t="s">
        <v>286</v>
      </c>
      <c r="B920" s="4"/>
      <c r="C920" s="4"/>
    </row>
    <row r="921" spans="1:3" ht="12" customHeight="1" x14ac:dyDescent="0.25">
      <c r="A921" s="4"/>
      <c r="B921" s="4"/>
      <c r="C921" s="4"/>
    </row>
    <row r="922" spans="1:3" ht="12" customHeight="1" x14ac:dyDescent="0.25">
      <c r="A922" s="4"/>
      <c r="B922" s="4"/>
      <c r="C922" s="4"/>
    </row>
    <row r="923" spans="1:3" ht="12" customHeight="1" x14ac:dyDescent="0.25">
      <c r="A923" s="3" t="s">
        <v>287</v>
      </c>
      <c r="B923" s="4"/>
      <c r="C923" s="4"/>
    </row>
    <row r="924" spans="1:3" ht="12" customHeight="1" x14ac:dyDescent="0.25">
      <c r="A924" s="4"/>
      <c r="B924" s="4"/>
      <c r="C924" s="4"/>
    </row>
    <row r="925" spans="1:3" ht="12" customHeight="1" x14ac:dyDescent="0.25">
      <c r="A925" s="3" t="s">
        <v>288</v>
      </c>
      <c r="B925" s="4"/>
      <c r="C925" s="4"/>
    </row>
    <row r="926" spans="1:3" ht="12" customHeight="1" x14ac:dyDescent="0.25">
      <c r="A926" s="3" t="s">
        <v>289</v>
      </c>
      <c r="B926" s="4"/>
      <c r="C926" s="4"/>
    </row>
    <row r="927" spans="1:3" ht="12" customHeight="1" x14ac:dyDescent="0.25">
      <c r="A927" s="3" t="s">
        <v>290</v>
      </c>
      <c r="B927" s="4"/>
      <c r="C927" s="4"/>
    </row>
    <row r="928" spans="1:3" ht="12" customHeight="1" x14ac:dyDescent="0.25">
      <c r="A928" s="3" t="s">
        <v>291</v>
      </c>
      <c r="B928" s="4"/>
      <c r="C928" s="4"/>
    </row>
    <row r="929" spans="1:3" ht="12" customHeight="1" x14ac:dyDescent="0.25">
      <c r="A929" s="4"/>
      <c r="B929" s="4"/>
      <c r="C929" s="4"/>
    </row>
    <row r="930" spans="1:3" ht="12" customHeight="1" x14ac:dyDescent="0.25">
      <c r="A930" s="3" t="s">
        <v>292</v>
      </c>
      <c r="B930" s="4"/>
      <c r="C930" s="4"/>
    </row>
    <row r="931" spans="1:3" ht="12" customHeight="1" x14ac:dyDescent="0.25">
      <c r="A931" s="3" t="s">
        <v>293</v>
      </c>
      <c r="B931" s="4"/>
      <c r="C931" s="4"/>
    </row>
    <row r="932" spans="1:3" ht="12" customHeight="1" x14ac:dyDescent="0.25">
      <c r="A932" s="3" t="s">
        <v>294</v>
      </c>
      <c r="B932" s="4"/>
      <c r="C932" s="4"/>
    </row>
    <row r="933" spans="1:3" ht="12" customHeight="1" x14ac:dyDescent="0.25">
      <c r="A933" s="3" t="s">
        <v>295</v>
      </c>
      <c r="B933" s="4"/>
      <c r="C933" s="4"/>
    </row>
    <row r="934" spans="1:3" ht="12" customHeight="1" x14ac:dyDescent="0.25">
      <c r="A934" s="4"/>
      <c r="B934" s="4"/>
      <c r="C934" s="4"/>
    </row>
    <row r="935" spans="1:3" ht="12" customHeight="1" x14ac:dyDescent="0.25">
      <c r="A935" s="3" t="s">
        <v>296</v>
      </c>
      <c r="B935" s="4"/>
      <c r="C935" s="4"/>
    </row>
    <row r="936" spans="1:3" ht="12" customHeight="1" x14ac:dyDescent="0.25">
      <c r="A936" s="3" t="s">
        <v>289</v>
      </c>
      <c r="B936" s="4"/>
      <c r="C936" s="4"/>
    </row>
    <row r="937" spans="1:3" ht="12" customHeight="1" x14ac:dyDescent="0.25">
      <c r="A937" s="3" t="s">
        <v>297</v>
      </c>
      <c r="B937" s="4"/>
      <c r="C937" s="4"/>
    </row>
    <row r="938" spans="1:3" ht="12" customHeight="1" x14ac:dyDescent="0.25">
      <c r="A938" s="3" t="s">
        <v>298</v>
      </c>
      <c r="B938" s="4"/>
      <c r="C938" s="4"/>
    </row>
    <row r="939" spans="1:3" ht="12" customHeight="1" x14ac:dyDescent="0.25">
      <c r="A939" s="3" t="s">
        <v>299</v>
      </c>
      <c r="B939" s="4"/>
      <c r="C939" s="4"/>
    </row>
    <row r="940" spans="1:3" ht="12" customHeight="1" x14ac:dyDescent="0.25">
      <c r="A940" s="3" t="s">
        <v>300</v>
      </c>
      <c r="B940" s="4"/>
      <c r="C940" s="4"/>
    </row>
    <row r="941" spans="1:3" ht="12" customHeight="1" x14ac:dyDescent="0.25">
      <c r="A941" s="3" t="s">
        <v>301</v>
      </c>
      <c r="B941" s="4"/>
      <c r="C941" s="4"/>
    </row>
    <row r="942" spans="1:3" ht="12" customHeight="1" x14ac:dyDescent="0.25">
      <c r="A942" s="3" t="s">
        <v>302</v>
      </c>
      <c r="B942" s="4"/>
      <c r="C942" s="4"/>
    </row>
    <row r="943" spans="1:3" ht="12" customHeight="1" x14ac:dyDescent="0.25">
      <c r="A943" s="3" t="s">
        <v>303</v>
      </c>
      <c r="B943" s="4"/>
      <c r="C943" s="4"/>
    </row>
    <row r="944" spans="1:3" ht="12" customHeight="1" x14ac:dyDescent="0.25">
      <c r="A944" s="4"/>
      <c r="B944" s="4"/>
      <c r="C944" s="4"/>
    </row>
    <row r="945" spans="1:3" ht="12" customHeight="1" x14ac:dyDescent="0.25">
      <c r="A945" s="3" t="s">
        <v>304</v>
      </c>
      <c r="B945" s="4"/>
      <c r="C945" s="4"/>
    </row>
    <row r="946" spans="1:3" ht="12" customHeight="1" x14ac:dyDescent="0.25">
      <c r="A946" s="3" t="s">
        <v>305</v>
      </c>
      <c r="B946" s="4"/>
      <c r="C946" s="4"/>
    </row>
    <row r="947" spans="1:3" ht="12" customHeight="1" x14ac:dyDescent="0.25">
      <c r="A947" s="3" t="s">
        <v>306</v>
      </c>
      <c r="B947" s="4"/>
      <c r="C947" s="4"/>
    </row>
    <row r="948" spans="1:3" ht="12" customHeight="1" x14ac:dyDescent="0.25">
      <c r="A948" s="4"/>
      <c r="B948" s="4"/>
      <c r="C948" s="4"/>
    </row>
    <row r="949" spans="1:3" ht="12" customHeight="1" x14ac:dyDescent="0.25">
      <c r="A949" s="4"/>
      <c r="B949" s="4"/>
      <c r="C949" s="4"/>
    </row>
    <row r="950" spans="1:3" ht="12" customHeight="1" x14ac:dyDescent="0.25">
      <c r="A950" s="4"/>
      <c r="B950" s="4"/>
      <c r="C950" s="4"/>
    </row>
    <row r="951" spans="1:3" ht="12" customHeight="1" x14ac:dyDescent="0.25">
      <c r="A951" s="4"/>
      <c r="B951" s="4"/>
      <c r="C951" s="4"/>
    </row>
    <row r="952" spans="1:3" ht="12" customHeight="1" x14ac:dyDescent="0.25">
      <c r="A952" s="4"/>
      <c r="B952" s="4"/>
      <c r="C952" s="4"/>
    </row>
    <row r="953" spans="1:3" ht="12" customHeight="1" x14ac:dyDescent="0.25">
      <c r="A953" s="4"/>
      <c r="B953" s="4"/>
      <c r="C953" s="4"/>
    </row>
    <row r="954" spans="1:3" ht="12" customHeight="1" x14ac:dyDescent="0.25">
      <c r="A954" s="4"/>
      <c r="B954" s="4"/>
      <c r="C954" s="4"/>
    </row>
    <row r="955" spans="1:3" ht="12" customHeight="1" x14ac:dyDescent="0.25">
      <c r="A955" s="4"/>
      <c r="B955" s="4"/>
      <c r="C955" s="4"/>
    </row>
    <row r="956" spans="1:3" ht="12" customHeight="1" x14ac:dyDescent="0.25">
      <c r="A956" s="4"/>
      <c r="B956" s="4"/>
      <c r="C956" s="4"/>
    </row>
    <row r="957" spans="1:3" ht="12" customHeight="1" x14ac:dyDescent="0.25">
      <c r="A957" s="4"/>
      <c r="B957" s="4"/>
      <c r="C957" s="4"/>
    </row>
    <row r="958" spans="1:3" ht="12" customHeight="1" x14ac:dyDescent="0.25">
      <c r="A958" s="4"/>
      <c r="B958" s="4"/>
      <c r="C958" s="4"/>
    </row>
    <row r="959" spans="1:3" ht="12" customHeight="1" x14ac:dyDescent="0.25">
      <c r="A959" s="20" t="s">
        <v>283</v>
      </c>
      <c r="B959" s="4"/>
      <c r="C959" s="4"/>
    </row>
    <row r="960" spans="1:3" ht="12" customHeight="1" x14ac:dyDescent="0.25">
      <c r="A960" s="18" t="s">
        <v>593</v>
      </c>
      <c r="B960" s="4"/>
      <c r="C960" s="4"/>
    </row>
    <row r="961" spans="1:3" ht="12" customHeight="1" x14ac:dyDescent="0.25">
      <c r="A961" s="4"/>
      <c r="B961" s="4"/>
      <c r="C961" s="4"/>
    </row>
    <row r="962" spans="1:3" ht="12" customHeight="1" x14ac:dyDescent="0.25">
      <c r="A962" s="18" t="s">
        <v>45</v>
      </c>
      <c r="B962" s="4"/>
      <c r="C962" s="4"/>
    </row>
    <row r="963" spans="1:3" ht="12" customHeight="1" x14ac:dyDescent="0.25">
      <c r="A963" s="18" t="str">
        <f>A907</f>
        <v xml:space="preserve">          DECEMBER 31, 2016</v>
      </c>
      <c r="B963" s="4"/>
      <c r="C963" s="4"/>
    </row>
    <row r="964" spans="1:3" ht="12" customHeight="1" x14ac:dyDescent="0.25">
      <c r="A964" s="5" t="str">
        <f>T(A$23)</f>
        <v/>
      </c>
      <c r="B964" s="4"/>
      <c r="C964" s="4"/>
    </row>
    <row r="965" spans="1:3" ht="12" customHeight="1" x14ac:dyDescent="0.25">
      <c r="A965" s="4"/>
      <c r="B965" s="4"/>
      <c r="C965" s="4"/>
    </row>
    <row r="966" spans="1:3" ht="12" customHeight="1" x14ac:dyDescent="0.25">
      <c r="A966" s="20" t="s">
        <v>314</v>
      </c>
      <c r="B966" s="4"/>
      <c r="C966" s="4"/>
    </row>
    <row r="967" spans="1:3" ht="12" customHeight="1" x14ac:dyDescent="0.25">
      <c r="A967" s="9"/>
      <c r="B967" s="4"/>
      <c r="C967" s="4"/>
    </row>
    <row r="968" spans="1:3" ht="12" customHeight="1" x14ac:dyDescent="0.25">
      <c r="A968" s="20" t="s">
        <v>119</v>
      </c>
      <c r="B968" s="4"/>
      <c r="C968" s="4"/>
    </row>
    <row r="969" spans="1:3" ht="12" customHeight="1" x14ac:dyDescent="0.25">
      <c r="A969" s="20" t="str">
        <f>REPLACE("                     FOR FISCAL YEAR ENDING DECEMBER 31, 19xx",58,4,FIXED(Calculations!B9+1,0,TRUE))</f>
        <v xml:space="preserve">                     FOR FISCAL YEAR ENDING DECEMBER 31, 2017</v>
      </c>
      <c r="B969" s="4"/>
      <c r="C969" s="4"/>
    </row>
    <row r="970" spans="1:3" ht="12" customHeight="1" x14ac:dyDescent="0.25">
      <c r="A970" s="20" t="s">
        <v>180</v>
      </c>
      <c r="B970" s="4"/>
      <c r="C970" s="4"/>
    </row>
    <row r="971" spans="1:3" ht="12" customHeight="1" x14ac:dyDescent="0.25">
      <c r="A971" s="4"/>
      <c r="B971" s="4"/>
      <c r="C971" s="4"/>
    </row>
    <row r="972" spans="1:3" ht="12" customHeight="1" x14ac:dyDescent="0.25">
      <c r="A972" s="3" t="s">
        <v>307</v>
      </c>
      <c r="B972" s="4"/>
      <c r="C972" s="4"/>
    </row>
    <row r="973" spans="1:3" ht="12" customHeight="1" x14ac:dyDescent="0.25">
      <c r="A973" s="3" t="s">
        <v>308</v>
      </c>
      <c r="B973" s="4"/>
      <c r="C973" s="4"/>
    </row>
    <row r="974" spans="1:3" ht="12" customHeight="1" x14ac:dyDescent="0.25">
      <c r="A974" s="5" t="str">
        <f>REPLACE("Therefore we can now determine this amount for the fiscal year ending December 31, 19xx",84,4,FIXED(Calculations!B9+1,0,TRUE))</f>
        <v>Therefore we can now determine this amount for the fiscal year ending December 31, 2017</v>
      </c>
      <c r="B974" s="4"/>
      <c r="C974" s="4"/>
    </row>
    <row r="975" spans="1:3" ht="12" customHeight="1" x14ac:dyDescent="0.25">
      <c r="A975" s="5" t="str">
        <f>REPLACE("using actuarial assumptions and projected participant data as of January 1, 19xx.  ",77,4,FIXED(Calculations!B9+1,0,TRUE))</f>
        <v xml:space="preserve">using actuarial assumptions and projected participant data as of January 1, 2017.  </v>
      </c>
      <c r="B975" s="4"/>
      <c r="C975" s="4"/>
    </row>
    <row r="976" spans="1:3" ht="12" customHeight="1" x14ac:dyDescent="0.25">
      <c r="A976" s="4"/>
      <c r="B976" s="4"/>
      <c r="C976" s="4"/>
    </row>
    <row r="977" spans="1:3" ht="12" customHeight="1" x14ac:dyDescent="0.25">
      <c r="A977" s="3" t="s">
        <v>602</v>
      </c>
      <c r="B977" s="4"/>
      <c r="C977" s="4"/>
    </row>
    <row r="978" spans="1:3" ht="12" customHeight="1" x14ac:dyDescent="0.25">
      <c r="A978" s="3" t="s">
        <v>309</v>
      </c>
      <c r="B978" s="4"/>
      <c r="C978" s="4"/>
    </row>
    <row r="979" spans="1:3" ht="12" customHeight="1" x14ac:dyDescent="0.25">
      <c r="A979" s="5" t="str">
        <f>REPLACE("fiscal year ending December 31, 19xx will be determined after the fiscal year end and ",33,4,FIXED(Calculations!B9+1,0,TRUE))</f>
        <v xml:space="preserve">fiscal year ending December 31, 2017 will be determined after the fiscal year end and </v>
      </c>
      <c r="B979" s="4"/>
      <c r="C979" s="4"/>
    </row>
    <row r="980" spans="1:3" ht="12" customHeight="1" x14ac:dyDescent="0.25">
      <c r="A980" s="5" t="str">
        <f>REPLACE("be reported in the ACTUARIAL REPORT FOR THE FISCAL YEAR ENDING December 31, 19xx.",77,4,FIXED(Calculations!B9+1,0,TRUE))</f>
        <v>be reported in the ACTUARIAL REPORT FOR THE FISCAL YEAR ENDING December 31, 2017.</v>
      </c>
      <c r="B980" s="4"/>
      <c r="C980" s="4"/>
    </row>
    <row r="981" spans="1:3" ht="12" customHeight="1" x14ac:dyDescent="0.25">
      <c r="A981" s="4"/>
      <c r="B981" s="4"/>
      <c r="C981" s="4"/>
    </row>
    <row r="982" spans="1:3" ht="12" customHeight="1" x14ac:dyDescent="0.25">
      <c r="A982" s="4"/>
      <c r="B982" s="4"/>
      <c r="C982" s="25" t="str">
        <f>REPLACE("  12/31/xx",9,4,FIXED(Calculations!B9+1,0,TRUE))</f>
        <v xml:space="preserve">  12/31/2017</v>
      </c>
    </row>
    <row r="983" spans="1:3" ht="12" customHeight="1" x14ac:dyDescent="0.25">
      <c r="A983" s="3" t="s">
        <v>310</v>
      </c>
      <c r="B983" s="4"/>
      <c r="C983" s="25" t="s">
        <v>76</v>
      </c>
    </row>
    <row r="984" spans="1:3" ht="12" customHeight="1" x14ac:dyDescent="0.25">
      <c r="A984" s="3" t="s">
        <v>130</v>
      </c>
      <c r="B984" s="4"/>
      <c r="C984" s="36"/>
    </row>
    <row r="985" spans="1:3" ht="12" customHeight="1" x14ac:dyDescent="0.25">
      <c r="A985" s="4"/>
      <c r="B985" s="4"/>
      <c r="C985" s="25" t="s">
        <v>36</v>
      </c>
    </row>
    <row r="986" spans="1:3" ht="12" customHeight="1" x14ac:dyDescent="0.25">
      <c r="A986" s="3" t="s">
        <v>131</v>
      </c>
      <c r="B986" s="4"/>
      <c r="C986" s="4"/>
    </row>
    <row r="987" spans="1:3" ht="12" customHeight="1" x14ac:dyDescent="0.25">
      <c r="A987" s="3" t="s">
        <v>132</v>
      </c>
      <c r="B987" s="4"/>
      <c r="C987" s="5">
        <f>ROUND('OPEVS results'!C24/1000,0)</f>
        <v>315</v>
      </c>
    </row>
    <row r="988" spans="1:3" ht="12" customHeight="1" x14ac:dyDescent="0.25">
      <c r="A988" s="3" t="s">
        <v>133</v>
      </c>
      <c r="B988" s="4"/>
      <c r="C988" s="5">
        <f>ROUND(C987*C995,0)</f>
        <v>13</v>
      </c>
    </row>
    <row r="989" spans="1:3" ht="12" customHeight="1" x14ac:dyDescent="0.25">
      <c r="A989" s="3" t="s">
        <v>134</v>
      </c>
      <c r="B989" s="4"/>
      <c r="C989" s="5">
        <f>C987+C988</f>
        <v>328</v>
      </c>
    </row>
    <row r="990" spans="1:3" ht="12" customHeight="1" x14ac:dyDescent="0.25">
      <c r="A990" s="4"/>
      <c r="B990" s="4"/>
      <c r="C990" s="4"/>
    </row>
    <row r="991" spans="1:3" ht="12" customHeight="1" x14ac:dyDescent="0.25">
      <c r="A991" s="3" t="s">
        <v>135</v>
      </c>
      <c r="B991" s="4"/>
      <c r="C991" s="4"/>
    </row>
    <row r="992" spans="1:3" ht="12" customHeight="1" x14ac:dyDescent="0.25">
      <c r="A992" s="3" t="s">
        <v>311</v>
      </c>
      <c r="B992" s="4"/>
      <c r="C992" s="5">
        <f>ROUND('OPEVS results'!B24/1000,0)</f>
        <v>31619</v>
      </c>
    </row>
    <row r="993" spans="1:3" ht="12" customHeight="1" x14ac:dyDescent="0.25">
      <c r="A993" s="3" t="s">
        <v>137</v>
      </c>
      <c r="B993" s="4"/>
      <c r="C993" s="5">
        <f>C1000</f>
        <v>693</v>
      </c>
    </row>
    <row r="994" spans="1:3" ht="12" customHeight="1" x14ac:dyDescent="0.25">
      <c r="A994" s="3" t="s">
        <v>138</v>
      </c>
      <c r="B994" s="4"/>
      <c r="C994" s="5">
        <f>C992-C993</f>
        <v>30926</v>
      </c>
    </row>
    <row r="995" spans="1:3" ht="12" customHeight="1" x14ac:dyDescent="0.25">
      <c r="A995" s="3" t="s">
        <v>139</v>
      </c>
      <c r="B995" s="4"/>
      <c r="C995" s="54">
        <f>Calculations!B16</f>
        <v>0.04</v>
      </c>
    </row>
    <row r="996" spans="1:3" ht="12" customHeight="1" x14ac:dyDescent="0.25">
      <c r="A996" s="3" t="s">
        <v>140</v>
      </c>
      <c r="B996" s="4"/>
      <c r="C996" s="98">
        <f>C994*C995</f>
        <v>1237.04</v>
      </c>
    </row>
    <row r="997" spans="1:3" ht="12" customHeight="1" x14ac:dyDescent="0.25">
      <c r="A997" s="4"/>
      <c r="B997" s="4"/>
      <c r="C997" s="4"/>
    </row>
    <row r="998" spans="1:3" ht="12" customHeight="1" x14ac:dyDescent="0.25">
      <c r="A998" s="3" t="s">
        <v>141</v>
      </c>
      <c r="B998" s="4"/>
      <c r="C998" s="4"/>
    </row>
    <row r="999" spans="1:3" ht="12" customHeight="1" x14ac:dyDescent="0.25">
      <c r="A999" s="3" t="s">
        <v>142</v>
      </c>
      <c r="B999" s="4"/>
      <c r="C999" s="5">
        <f>Calculations!B25</f>
        <v>0</v>
      </c>
    </row>
    <row r="1000" spans="1:3" ht="12" customHeight="1" x14ac:dyDescent="0.25">
      <c r="A1000" s="3" t="s">
        <v>137</v>
      </c>
      <c r="B1000" s="4"/>
      <c r="C1000" s="5">
        <f>ROUND('OPEVS results'!J18/1000*0.5,0)</f>
        <v>693</v>
      </c>
    </row>
    <row r="1001" spans="1:3" ht="12" customHeight="1" x14ac:dyDescent="0.25">
      <c r="A1001" s="3" t="s">
        <v>143</v>
      </c>
      <c r="B1001" s="4"/>
      <c r="C1001" s="5">
        <f>C438</f>
        <v>0</v>
      </c>
    </row>
    <row r="1002" spans="1:3" ht="12" customHeight="1" x14ac:dyDescent="0.25">
      <c r="A1002" s="3" t="s">
        <v>144</v>
      </c>
      <c r="B1002" s="4"/>
      <c r="C1002" s="5">
        <f>C1000</f>
        <v>693</v>
      </c>
    </row>
    <row r="1003" spans="1:3" ht="12" customHeight="1" x14ac:dyDescent="0.25">
      <c r="A1003" s="3" t="s">
        <v>145</v>
      </c>
      <c r="B1003" s="4"/>
      <c r="C1003" s="5">
        <f>C999-C1000-C1001+C1002</f>
        <v>0</v>
      </c>
    </row>
    <row r="1004" spans="1:3" ht="12" customHeight="1" x14ac:dyDescent="0.25">
      <c r="A1004" s="3" t="s">
        <v>146</v>
      </c>
      <c r="B1004" s="4"/>
      <c r="C1004" s="45">
        <f>Calculations!B17</f>
        <v>7.4999999999999997E-2</v>
      </c>
    </row>
    <row r="1005" spans="1:3" ht="12" customHeight="1" x14ac:dyDescent="0.25">
      <c r="A1005" s="3" t="s">
        <v>147</v>
      </c>
      <c r="B1005" s="4"/>
      <c r="C1005" s="5">
        <f>C1003*C1004</f>
        <v>0</v>
      </c>
    </row>
    <row r="1006" spans="1:3" ht="12" customHeight="1" x14ac:dyDescent="0.25">
      <c r="A1006" s="4"/>
      <c r="B1006" s="4"/>
      <c r="C1006" s="4"/>
    </row>
    <row r="1007" spans="1:3" ht="12" customHeight="1" x14ac:dyDescent="0.25">
      <c r="A1007" s="3" t="s">
        <v>148</v>
      </c>
      <c r="B1007" s="4"/>
      <c r="C1007" s="5">
        <f>C444</f>
        <v>0</v>
      </c>
    </row>
    <row r="1008" spans="1:3" ht="12" customHeight="1" x14ac:dyDescent="0.25">
      <c r="A1008" s="4"/>
      <c r="B1008" s="4"/>
      <c r="C1008" s="4"/>
    </row>
    <row r="1009" spans="1:3" ht="12" customHeight="1" x14ac:dyDescent="0.25">
      <c r="A1009" s="3" t="s">
        <v>149</v>
      </c>
      <c r="B1009" s="4"/>
      <c r="C1009" s="5">
        <f>C446</f>
        <v>-262</v>
      </c>
    </row>
    <row r="1010" spans="1:3" ht="12" customHeight="1" x14ac:dyDescent="0.25">
      <c r="A1010" s="4"/>
      <c r="B1010" s="4"/>
      <c r="C1010" s="4"/>
    </row>
    <row r="1011" spans="1:3" ht="12" customHeight="1" x14ac:dyDescent="0.25">
      <c r="A1011" s="3" t="s">
        <v>150</v>
      </c>
      <c r="B1011" s="4"/>
      <c r="C1011" s="5">
        <f>Calculations!E52</f>
        <v>0</v>
      </c>
    </row>
    <row r="1012" spans="1:3" ht="12" customHeight="1" x14ac:dyDescent="0.25">
      <c r="A1012" s="4"/>
      <c r="B1012" s="4"/>
      <c r="C1012" s="4"/>
    </row>
    <row r="1013" spans="1:3" ht="12" customHeight="1" x14ac:dyDescent="0.25">
      <c r="A1013" s="5" t="str">
        <f>REPLACE("   7. Net Periodic Postretirement Benefit Cost (FY ending 12/31/xxxx)",65,4,FIXED(Calculations!B9+1,0,TRUE))</f>
        <v xml:space="preserve">   7. Net Periodic Postretirement Benefit Cost (FY ending 12/31/2017)</v>
      </c>
      <c r="B1013" s="4"/>
      <c r="C1013" s="4"/>
    </row>
    <row r="1014" spans="1:3" ht="12" customHeight="1" x14ac:dyDescent="0.25">
      <c r="A1014" s="3" t="s">
        <v>312</v>
      </c>
      <c r="B1014" s="4"/>
      <c r="C1014" s="98">
        <f>C989+C996+C1005+C1007+C1009+C1011</f>
        <v>1303.04</v>
      </c>
    </row>
    <row r="1015" spans="1:3" ht="12" customHeight="1" x14ac:dyDescent="0.25">
      <c r="A1015" s="3"/>
      <c r="B1015" s="4"/>
      <c r="C1015" s="5"/>
    </row>
    <row r="1016" spans="1:3" ht="12" customHeight="1" x14ac:dyDescent="0.25">
      <c r="A1016" s="3"/>
      <c r="B1016" s="4"/>
      <c r="C1016" s="5"/>
    </row>
    <row r="1017" spans="1:3" ht="12" customHeight="1" x14ac:dyDescent="0.25">
      <c r="A1017" s="20" t="s">
        <v>360</v>
      </c>
      <c r="B1017" s="4"/>
      <c r="C1017" s="4"/>
    </row>
    <row r="1018" spans="1:3" ht="12" customHeight="1" x14ac:dyDescent="0.25">
      <c r="A1018" s="20"/>
      <c r="B1018" s="4"/>
      <c r="C1018" s="4"/>
    </row>
    <row r="1019" spans="1:3" ht="12" customHeight="1" x14ac:dyDescent="0.25">
      <c r="A1019" s="18" t="s">
        <v>593</v>
      </c>
      <c r="B1019" s="4"/>
      <c r="C1019" s="4"/>
    </row>
    <row r="1020" spans="1:3" ht="12" customHeight="1" x14ac:dyDescent="0.25">
      <c r="A1020" s="4"/>
      <c r="B1020" s="4"/>
      <c r="C1020" s="4"/>
    </row>
    <row r="1021" spans="1:3" ht="12" customHeight="1" x14ac:dyDescent="0.25">
      <c r="A1021" s="18" t="s">
        <v>45</v>
      </c>
      <c r="B1021" s="4"/>
      <c r="C1021" s="4"/>
    </row>
    <row r="1022" spans="1:3" ht="12" customHeight="1" x14ac:dyDescent="0.25">
      <c r="A1022" s="18" t="str">
        <f>A963</f>
        <v xml:space="preserve">          DECEMBER 31, 2016</v>
      </c>
      <c r="B1022" s="4"/>
      <c r="C1022" s="4"/>
    </row>
    <row r="1023" spans="1:3" ht="12" customHeight="1" x14ac:dyDescent="0.25">
      <c r="A1023" s="5" t="str">
        <f>T(A$23)</f>
        <v/>
      </c>
      <c r="B1023" s="4"/>
      <c r="C1023" s="4"/>
    </row>
    <row r="1024" spans="1:3" ht="12" customHeight="1" x14ac:dyDescent="0.25">
      <c r="A1024" s="4"/>
      <c r="B1024" s="4"/>
      <c r="C1024" s="4"/>
    </row>
    <row r="1025" spans="1:3" ht="12" customHeight="1" x14ac:dyDescent="0.25">
      <c r="A1025" s="20" t="s">
        <v>329</v>
      </c>
      <c r="B1025" s="4"/>
      <c r="C1025" s="4"/>
    </row>
    <row r="1026" spans="1:3" ht="12" customHeight="1" x14ac:dyDescent="0.25">
      <c r="A1026" s="9"/>
      <c r="B1026" s="4"/>
      <c r="C1026" s="4"/>
    </row>
    <row r="1027" spans="1:3" ht="12" customHeight="1" x14ac:dyDescent="0.25">
      <c r="A1027" s="32" t="s">
        <v>315</v>
      </c>
      <c r="B1027" s="4"/>
      <c r="C1027" s="4"/>
    </row>
    <row r="1028" spans="1:3" ht="12" customHeight="1" x14ac:dyDescent="0.25">
      <c r="A1028" s="20" t="s">
        <v>180</v>
      </c>
      <c r="B1028" s="4"/>
      <c r="C1028" s="4"/>
    </row>
    <row r="1029" spans="1:3" ht="12" customHeight="1" x14ac:dyDescent="0.25"/>
    <row r="1030" spans="1:3" ht="12" customHeight="1" x14ac:dyDescent="0.25"/>
    <row r="1031" spans="1:3" ht="12" customHeight="1" x14ac:dyDescent="0.25">
      <c r="A1031" s="4" t="s">
        <v>603</v>
      </c>
    </row>
    <row r="1032" spans="1:3" ht="12" customHeight="1" x14ac:dyDescent="0.25">
      <c r="A1032" s="4" t="s">
        <v>316</v>
      </c>
    </row>
    <row r="1033" spans="1:3" ht="12" customHeight="1" x14ac:dyDescent="0.25">
      <c r="A1033" s="4" t="s">
        <v>317</v>
      </c>
    </row>
    <row r="1034" spans="1:3" ht="12" customHeight="1" x14ac:dyDescent="0.25">
      <c r="A1034" s="4"/>
    </row>
    <row r="1035" spans="1:3" ht="12" customHeight="1" x14ac:dyDescent="0.25">
      <c r="A1035" s="4" t="s">
        <v>604</v>
      </c>
    </row>
    <row r="1036" spans="1:3" ht="12" customHeight="1" x14ac:dyDescent="0.25">
      <c r="A1036" s="4" t="s">
        <v>318</v>
      </c>
    </row>
    <row r="1037" spans="1:3" ht="12" customHeight="1" x14ac:dyDescent="0.25">
      <c r="A1037" s="4" t="s">
        <v>319</v>
      </c>
    </row>
    <row r="1038" spans="1:3" ht="12" customHeight="1" x14ac:dyDescent="0.25">
      <c r="A1038" s="4" t="s">
        <v>320</v>
      </c>
    </row>
    <row r="1039" spans="1:3" ht="12" customHeight="1" x14ac:dyDescent="0.25">
      <c r="A1039" s="4"/>
    </row>
    <row r="1040" spans="1:3" ht="12" customHeight="1" x14ac:dyDescent="0.25">
      <c r="A1040" s="4" t="s">
        <v>321</v>
      </c>
    </row>
    <row r="1041" spans="1:1" ht="12" customHeight="1" x14ac:dyDescent="0.25">
      <c r="A1041" s="4" t="s">
        <v>322</v>
      </c>
    </row>
    <row r="1042" spans="1:1" ht="12" customHeight="1" x14ac:dyDescent="0.25">
      <c r="A1042" s="4" t="s">
        <v>323</v>
      </c>
    </row>
    <row r="1043" spans="1:1" ht="12" customHeight="1" x14ac:dyDescent="0.25">
      <c r="A1043" s="4" t="s">
        <v>324</v>
      </c>
    </row>
    <row r="1044" spans="1:1" ht="12" customHeight="1" x14ac:dyDescent="0.25">
      <c r="A1044" s="4"/>
    </row>
    <row r="1045" spans="1:1" ht="12" customHeight="1" x14ac:dyDescent="0.25">
      <c r="A1045" s="4" t="s">
        <v>605</v>
      </c>
    </row>
    <row r="1046" spans="1:1" ht="12" customHeight="1" x14ac:dyDescent="0.25">
      <c r="A1046" s="4" t="s">
        <v>325</v>
      </c>
    </row>
    <row r="1047" spans="1:1" ht="12" customHeight="1" x14ac:dyDescent="0.25">
      <c r="A1047" s="4"/>
    </row>
    <row r="1048" spans="1:1" ht="12" customHeight="1" x14ac:dyDescent="0.25">
      <c r="A1048" s="4" t="s">
        <v>326</v>
      </c>
    </row>
    <row r="1049" spans="1:1" ht="12" customHeight="1" x14ac:dyDescent="0.25">
      <c r="A1049" s="4" t="s">
        <v>327</v>
      </c>
    </row>
    <row r="1050" spans="1:1" ht="12" customHeight="1" x14ac:dyDescent="0.25">
      <c r="A1050" s="4"/>
    </row>
    <row r="1051" spans="1:1" ht="12" customHeight="1" x14ac:dyDescent="0.25">
      <c r="A1051" s="4" t="s">
        <v>606</v>
      </c>
    </row>
    <row r="1052" spans="1:1" ht="12" customHeight="1" x14ac:dyDescent="0.25"/>
    <row r="1053" spans="1:1" ht="12" customHeight="1" x14ac:dyDescent="0.25"/>
    <row r="1054" spans="1:1" ht="12" customHeight="1" x14ac:dyDescent="0.25">
      <c r="A1054" s="33" t="s">
        <v>59</v>
      </c>
    </row>
    <row r="1055" spans="1:1" ht="12" customHeight="1" x14ac:dyDescent="0.25">
      <c r="A1055" s="21" t="s">
        <v>60</v>
      </c>
    </row>
    <row r="1056" spans="1:1" ht="12" customHeight="1" x14ac:dyDescent="0.25">
      <c r="A1056" s="21" t="s">
        <v>600</v>
      </c>
    </row>
    <row r="1057" spans="1:1" ht="12" customHeight="1" x14ac:dyDescent="0.25">
      <c r="A1057" s="21" t="s">
        <v>61</v>
      </c>
    </row>
    <row r="1058" spans="1:1" ht="12" customHeight="1" x14ac:dyDescent="0.25">
      <c r="A1058" s="21" t="s">
        <v>62</v>
      </c>
    </row>
    <row r="1059" spans="1:1" ht="12" customHeight="1" x14ac:dyDescent="0.25">
      <c r="A1059" s="21" t="s">
        <v>63</v>
      </c>
    </row>
    <row r="1060" spans="1:1" ht="12" customHeight="1" x14ac:dyDescent="0.25">
      <c r="A1060" s="21" t="s">
        <v>64</v>
      </c>
    </row>
    <row r="1061" spans="1:1" ht="12" customHeight="1" x14ac:dyDescent="0.25">
      <c r="A1061" s="21" t="s">
        <v>65</v>
      </c>
    </row>
    <row r="1062" spans="1:1" ht="12" customHeight="1" x14ac:dyDescent="0.25">
      <c r="A1062" s="21" t="s">
        <v>66</v>
      </c>
    </row>
    <row r="1063" spans="1:1" ht="12" customHeight="1" x14ac:dyDescent="0.25">
      <c r="A1063" s="21" t="s">
        <v>67</v>
      </c>
    </row>
    <row r="1064" spans="1:1" ht="12" customHeight="1" x14ac:dyDescent="0.25">
      <c r="A1064" s="21" t="s">
        <v>68</v>
      </c>
    </row>
    <row r="1065" spans="1:1" ht="12" customHeight="1" x14ac:dyDescent="0.25">
      <c r="A1065" s="21" t="s">
        <v>69</v>
      </c>
    </row>
    <row r="1066" spans="1:1" ht="12" customHeight="1" x14ac:dyDescent="0.25">
      <c r="A1066" s="21" t="s">
        <v>70</v>
      </c>
    </row>
    <row r="1067" spans="1:1" ht="12" customHeight="1" x14ac:dyDescent="0.25"/>
    <row r="1068" spans="1:1" ht="12" customHeight="1" x14ac:dyDescent="0.25"/>
    <row r="1069" spans="1:1" ht="12" customHeight="1" x14ac:dyDescent="0.25"/>
    <row r="1070" spans="1:1" ht="12" customHeight="1" x14ac:dyDescent="0.25"/>
    <row r="1071" spans="1:1" ht="12" customHeight="1" x14ac:dyDescent="0.25"/>
    <row r="1072" spans="1:1" ht="12" customHeight="1" x14ac:dyDescent="0.25"/>
    <row r="1073" spans="1:3" ht="12" customHeight="1" x14ac:dyDescent="0.25"/>
    <row r="1074" spans="1:3" ht="12" customHeight="1" x14ac:dyDescent="0.25"/>
    <row r="1075" spans="1:3" ht="12" customHeight="1" x14ac:dyDescent="0.25"/>
    <row r="1076" spans="1:3" ht="12" customHeight="1" x14ac:dyDescent="0.25"/>
    <row r="1077" spans="1:3" ht="12" customHeight="1" x14ac:dyDescent="0.25">
      <c r="A1077" s="20" t="s">
        <v>313</v>
      </c>
      <c r="B1077" s="4"/>
      <c r="C1077" s="4"/>
    </row>
    <row r="1078" spans="1:3" ht="12" customHeight="1" x14ac:dyDescent="0.25">
      <c r="A1078" s="20"/>
      <c r="B1078" s="4"/>
      <c r="C1078" s="4"/>
    </row>
    <row r="1079" spans="1:3" ht="12" customHeight="1" x14ac:dyDescent="0.25">
      <c r="A1079" s="18" t="s">
        <v>593</v>
      </c>
      <c r="B1079" s="4"/>
      <c r="C1079" s="4"/>
    </row>
    <row r="1080" spans="1:3" ht="12" customHeight="1" x14ac:dyDescent="0.25">
      <c r="A1080" s="4"/>
      <c r="B1080" s="4"/>
      <c r="C1080" s="4"/>
    </row>
    <row r="1081" spans="1:3" ht="12" customHeight="1" x14ac:dyDescent="0.25">
      <c r="A1081" s="18" t="str">
        <f>"            ACTUARIAL REPORT FOR FISCAL YEAR ENDING "&amp;A47</f>
        <v xml:space="preserve">            ACTUARIAL REPORT FOR FISCAL YEAR ENDING DECEMBER 31, 2016</v>
      </c>
      <c r="B1081" s="4"/>
      <c r="C1081" s="4"/>
    </row>
    <row r="1082" spans="1:3" ht="12" customHeight="1" x14ac:dyDescent="0.25">
      <c r="A1082" s="18" t="str">
        <f>A1023</f>
        <v/>
      </c>
      <c r="B1082" s="4"/>
      <c r="C1082" s="4"/>
    </row>
    <row r="1083" spans="1:3" ht="12" customHeight="1" x14ac:dyDescent="0.25">
      <c r="A1083" s="5" t="str">
        <f>T(A$23)</f>
        <v/>
      </c>
      <c r="B1083" s="4"/>
      <c r="C1083" s="4"/>
    </row>
    <row r="1084" spans="1:3" ht="12" customHeight="1" x14ac:dyDescent="0.25">
      <c r="A1084" s="4"/>
      <c r="B1084" s="4"/>
      <c r="C1084" s="4"/>
    </row>
    <row r="1085" spans="1:3" ht="12" customHeight="1" x14ac:dyDescent="0.25">
      <c r="A1085" s="20" t="s">
        <v>401</v>
      </c>
      <c r="B1085" s="4"/>
      <c r="C1085" s="4"/>
    </row>
    <row r="1086" spans="1:3" ht="12" customHeight="1" x14ac:dyDescent="0.25">
      <c r="A1086" s="9"/>
      <c r="B1086" s="4"/>
      <c r="C1086" s="4"/>
    </row>
    <row r="1087" spans="1:3" ht="12" customHeight="1" x14ac:dyDescent="0.25">
      <c r="A1087" s="32" t="s">
        <v>330</v>
      </c>
      <c r="B1087" s="4"/>
      <c r="C1087" s="4"/>
    </row>
    <row r="1088" spans="1:3" ht="12" customHeight="1" x14ac:dyDescent="0.25">
      <c r="A1088" s="20" t="s">
        <v>180</v>
      </c>
      <c r="B1088" s="4"/>
      <c r="C1088" s="4"/>
    </row>
    <row r="1089" spans="1:1" ht="12" customHeight="1" x14ac:dyDescent="0.25"/>
    <row r="1090" spans="1:1" ht="12" customHeight="1" x14ac:dyDescent="0.25"/>
    <row r="1091" spans="1:1" ht="12" customHeight="1" x14ac:dyDescent="0.25">
      <c r="A1091" s="4" t="str">
        <f>"SCGA provided us with a census of all plan participants as of 12-31-"&amp;Calculations!B9&amp;"."</f>
        <v>SCGA provided us with a census of all plan participants as of 12-31-2016.</v>
      </c>
    </row>
    <row r="1092" spans="1:1" ht="12" customHeight="1" x14ac:dyDescent="0.25">
      <c r="A1092" s="4"/>
    </row>
    <row r="1093" spans="1:1" ht="12" customHeight="1" x14ac:dyDescent="0.25">
      <c r="A1093" s="4"/>
    </row>
    <row r="1094" spans="1:1" ht="12" customHeight="1" x14ac:dyDescent="0.25">
      <c r="A1094" s="4"/>
    </row>
    <row r="1095" spans="1:1" ht="12" customHeight="1" x14ac:dyDescent="0.25">
      <c r="A1095" s="4" t="str">
        <f>"Number of Participants as of           12-31-"&amp;Calculations!B9&amp;"        12-31-"&amp;Calculations!B9-1</f>
        <v>Number of Participants as of           12-31-2016        12-31-2015</v>
      </c>
    </row>
    <row r="1096" spans="1:1" ht="12" customHeight="1" x14ac:dyDescent="0.25">
      <c r="A1096" s="4"/>
    </row>
    <row r="1097" spans="1:1" ht="12" customHeight="1" x14ac:dyDescent="0.25">
      <c r="A1097" s="4" t="s">
        <v>586</v>
      </c>
    </row>
    <row r="1098" spans="1:1" ht="12" customHeight="1" x14ac:dyDescent="0.25">
      <c r="A1098" s="4" t="s">
        <v>435</v>
      </c>
    </row>
    <row r="1099" spans="1:1" ht="12" customHeight="1" x14ac:dyDescent="0.25">
      <c r="A1099" s="4" t="s">
        <v>587</v>
      </c>
    </row>
    <row r="1100" spans="1:1" ht="12" customHeight="1" x14ac:dyDescent="0.25">
      <c r="A1100" s="4" t="s">
        <v>588</v>
      </c>
    </row>
    <row r="1101" spans="1:1" ht="12" customHeight="1" x14ac:dyDescent="0.25">
      <c r="A1101" s="4"/>
    </row>
    <row r="1102" spans="1:1" ht="12" customHeight="1" x14ac:dyDescent="0.25">
      <c r="A1102" s="4"/>
    </row>
    <row r="1103" spans="1:1" ht="12" customHeight="1" x14ac:dyDescent="0.25">
      <c r="A1103" s="4" t="s">
        <v>436</v>
      </c>
    </row>
    <row r="1104" spans="1:1" ht="12" customHeight="1" x14ac:dyDescent="0.25">
      <c r="A1104" s="4" t="s">
        <v>437</v>
      </c>
    </row>
    <row r="1105" spans="1:1" ht="12" customHeight="1" x14ac:dyDescent="0.25">
      <c r="A1105" s="4"/>
    </row>
    <row r="1106" spans="1:1" ht="12" customHeight="1" x14ac:dyDescent="0.25">
      <c r="A1106" s="4" t="s">
        <v>438</v>
      </c>
    </row>
    <row r="1107" spans="1:1" ht="12" customHeight="1" x14ac:dyDescent="0.25">
      <c r="A1107" s="4"/>
    </row>
    <row r="1108" spans="1:1" ht="12" customHeight="1" x14ac:dyDescent="0.25">
      <c r="A1108" s="4"/>
    </row>
    <row r="1109" spans="1:1" ht="12" customHeight="1" x14ac:dyDescent="0.25">
      <c r="A1109" s="4"/>
    </row>
    <row r="1110" spans="1:1" ht="12" customHeight="1" x14ac:dyDescent="0.25">
      <c r="A1110" s="4"/>
    </row>
    <row r="1111" spans="1:1" ht="12" customHeight="1" x14ac:dyDescent="0.25">
      <c r="A1111" s="4"/>
    </row>
    <row r="1112" spans="1:1" ht="12" customHeight="1" x14ac:dyDescent="0.25">
      <c r="A1112" s="4"/>
    </row>
    <row r="1113" spans="1:1" ht="12" customHeight="1" x14ac:dyDescent="0.25">
      <c r="A1113" s="4"/>
    </row>
    <row r="1114" spans="1:1" ht="12" customHeight="1" x14ac:dyDescent="0.25">
      <c r="A1114" s="4"/>
    </row>
    <row r="1115" spans="1:1" ht="12" customHeight="1" x14ac:dyDescent="0.25">
      <c r="A1115" s="4"/>
    </row>
    <row r="1116" spans="1:1" ht="12" customHeight="1" x14ac:dyDescent="0.25">
      <c r="A1116" s="4"/>
    </row>
    <row r="1117" spans="1:1" ht="12" customHeight="1" x14ac:dyDescent="0.25">
      <c r="A1117" s="4"/>
    </row>
    <row r="1118" spans="1:1" ht="12" customHeight="1" x14ac:dyDescent="0.25">
      <c r="A1118" s="4"/>
    </row>
    <row r="1119" spans="1:1" ht="12" customHeight="1" x14ac:dyDescent="0.25">
      <c r="A1119" s="4"/>
    </row>
    <row r="1120" spans="1:1" ht="12" customHeight="1" x14ac:dyDescent="0.25">
      <c r="A1120" s="4"/>
    </row>
    <row r="1121" spans="1:1" ht="12" customHeight="1" x14ac:dyDescent="0.25">
      <c r="A1121" s="4"/>
    </row>
    <row r="1122" spans="1:1" ht="12" customHeight="1" x14ac:dyDescent="0.25">
      <c r="A1122" s="4"/>
    </row>
    <row r="1123" spans="1:1" ht="12" customHeight="1" x14ac:dyDescent="0.25">
      <c r="A1123" s="4"/>
    </row>
    <row r="1124" spans="1:1" ht="12" customHeight="1" x14ac:dyDescent="0.25">
      <c r="A1124" s="4"/>
    </row>
    <row r="1125" spans="1:1" ht="12" customHeight="1" x14ac:dyDescent="0.25">
      <c r="A1125" s="4"/>
    </row>
    <row r="1126" spans="1:1" ht="12" customHeight="1" x14ac:dyDescent="0.25">
      <c r="A1126" s="4"/>
    </row>
    <row r="1127" spans="1:1" ht="12" customHeight="1" x14ac:dyDescent="0.25">
      <c r="A1127" s="4"/>
    </row>
    <row r="1128" spans="1:1" ht="12" customHeight="1" x14ac:dyDescent="0.25"/>
    <row r="1129" spans="1:1" ht="12" customHeight="1" x14ac:dyDescent="0.25"/>
    <row r="1130" spans="1:1" ht="12" customHeight="1" x14ac:dyDescent="0.25"/>
    <row r="1131" spans="1:1" ht="12" customHeight="1" x14ac:dyDescent="0.25"/>
    <row r="1132" spans="1:1" ht="12" customHeight="1" x14ac:dyDescent="0.25"/>
    <row r="1133" spans="1:1" ht="12" customHeight="1" x14ac:dyDescent="0.25"/>
    <row r="1134" spans="1:1" ht="12" customHeight="1" x14ac:dyDescent="0.25"/>
    <row r="1135" spans="1:1" ht="12" customHeight="1" x14ac:dyDescent="0.25"/>
    <row r="1136" spans="1:1" ht="12" customHeight="1" x14ac:dyDescent="0.25"/>
    <row r="1137" spans="1:3" ht="12" customHeight="1" x14ac:dyDescent="0.25">
      <c r="A1137" s="20" t="s">
        <v>328</v>
      </c>
      <c r="B1137" s="4"/>
      <c r="C1137" s="4"/>
    </row>
  </sheetData>
  <pageMargins left="0.7" right="0.7" top="0.75" bottom="0.75" header="0.3" footer="0.3"/>
  <pageSetup scale="73" fitToHeight="0" orientation="portrait" r:id="rId1"/>
  <rowBreaks count="19" manualBreakCount="19">
    <brk id="43" max="16383" man="1"/>
    <brk id="107" max="16383" man="1"/>
    <brk id="178" max="16383" man="1"/>
    <brk id="228" max="16383" man="1"/>
    <brk id="284" max="16383" man="1"/>
    <brk id="336" max="16383" man="1"/>
    <brk id="396" max="16383" man="1"/>
    <brk id="452" max="16383" man="1"/>
    <brk id="508" max="16383" man="1"/>
    <brk id="564" max="16383" man="1"/>
    <brk id="619" max="16383" man="1"/>
    <brk id="672" max="16383" man="1"/>
    <brk id="728" max="16383" man="1"/>
    <brk id="784" max="16383" man="1"/>
    <brk id="838" max="16383" man="1"/>
    <brk id="903" max="16383" man="1"/>
    <brk id="959" max="16383" man="1"/>
    <brk id="1018" max="16383" man="1"/>
    <brk id="107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2"/>
  <sheetViews>
    <sheetView workbookViewId="0"/>
  </sheetViews>
  <sheetFormatPr defaultRowHeight="15" x14ac:dyDescent="0.25"/>
  <cols>
    <col min="1" max="1" width="88.28515625" bestFit="1" customWidth="1"/>
    <col min="2" max="2" width="12.7109375" customWidth="1"/>
    <col min="4" max="4" width="71.7109375" bestFit="1" customWidth="1"/>
  </cols>
  <sheetData>
    <row r="1" spans="1:12" x14ac:dyDescent="0.25">
      <c r="A1" s="34" t="s">
        <v>589</v>
      </c>
      <c r="B1" s="4"/>
    </row>
    <row r="2" spans="1:12" x14ac:dyDescent="0.25">
      <c r="A2" s="52" t="s">
        <v>590</v>
      </c>
      <c r="B2" s="4" t="s">
        <v>611</v>
      </c>
    </row>
    <row r="3" spans="1:12" x14ac:dyDescent="0.25">
      <c r="A3" s="3" t="s">
        <v>331</v>
      </c>
      <c r="B3" s="4"/>
      <c r="G3" t="s">
        <v>612</v>
      </c>
    </row>
    <row r="4" spans="1:12" x14ac:dyDescent="0.25">
      <c r="A4" s="3" t="s">
        <v>332</v>
      </c>
      <c r="B4" s="4"/>
      <c r="D4" s="23" t="s">
        <v>380</v>
      </c>
    </row>
    <row r="5" spans="1:12" x14ac:dyDescent="0.25">
      <c r="A5" s="4"/>
      <c r="B5" s="4"/>
      <c r="G5" t="s">
        <v>429</v>
      </c>
      <c r="H5" t="s">
        <v>430</v>
      </c>
      <c r="I5" t="s">
        <v>431</v>
      </c>
    </row>
    <row r="6" spans="1:12" x14ac:dyDescent="0.25">
      <c r="A6" s="3" t="s">
        <v>333</v>
      </c>
      <c r="B6" s="25" t="str">
        <f>"    01/01/"&amp;RIGHT(B9,2)</f>
        <v xml:space="preserve">    01/01/16</v>
      </c>
      <c r="D6" s="23" t="s">
        <v>361</v>
      </c>
      <c r="E6" s="72">
        <v>2013</v>
      </c>
      <c r="G6">
        <v>50</v>
      </c>
      <c r="H6" s="97">
        <v>6894</v>
      </c>
      <c r="I6" s="97">
        <v>8060</v>
      </c>
      <c r="K6" s="97"/>
      <c r="L6" s="97"/>
    </row>
    <row r="7" spans="1:12" x14ac:dyDescent="0.25">
      <c r="A7" s="3" t="s">
        <v>334</v>
      </c>
      <c r="B7" s="25" t="str">
        <f>"    12/31/"&amp;RIGHT(B9,2)</f>
        <v xml:space="preserve">    12/31/16</v>
      </c>
      <c r="D7" s="23" t="s">
        <v>362</v>
      </c>
      <c r="E7" s="73">
        <f>B9</f>
        <v>2016</v>
      </c>
      <c r="G7">
        <v>51</v>
      </c>
      <c r="H7" s="97">
        <v>7239</v>
      </c>
      <c r="I7" s="97">
        <v>8307</v>
      </c>
      <c r="K7" s="97"/>
      <c r="L7" s="97"/>
    </row>
    <row r="8" spans="1:12" x14ac:dyDescent="0.25">
      <c r="A8" s="3" t="s">
        <v>335</v>
      </c>
      <c r="B8" s="25" t="str">
        <f>"    01/01/"&amp;RIGHT(B9,2)+1</f>
        <v xml:space="preserve">    01/01/17</v>
      </c>
      <c r="D8" s="3" t="s">
        <v>363</v>
      </c>
      <c r="E8" s="55">
        <v>50415</v>
      </c>
      <c r="G8">
        <v>52</v>
      </c>
      <c r="H8" s="97">
        <v>7585</v>
      </c>
      <c r="I8" s="97">
        <v>8555</v>
      </c>
      <c r="K8" s="97"/>
      <c r="L8" s="97"/>
    </row>
    <row r="9" spans="1:12" x14ac:dyDescent="0.25">
      <c r="A9" s="23" t="s">
        <v>336</v>
      </c>
      <c r="B9" s="55">
        <v>2016</v>
      </c>
      <c r="D9" s="3" t="s">
        <v>364</v>
      </c>
      <c r="E9" s="55">
        <v>48187</v>
      </c>
      <c r="G9">
        <v>53</v>
      </c>
      <c r="H9" s="97">
        <v>8136</v>
      </c>
      <c r="I9" s="97">
        <v>8785</v>
      </c>
      <c r="K9" s="97"/>
      <c r="L9" s="97"/>
    </row>
    <row r="10" spans="1:12" x14ac:dyDescent="0.25">
      <c r="A10" s="4"/>
      <c r="B10" s="4"/>
      <c r="D10" s="3" t="s">
        <v>365</v>
      </c>
      <c r="E10" s="5">
        <f>E9-E8</f>
        <v>-2228</v>
      </c>
      <c r="G10">
        <v>54</v>
      </c>
      <c r="H10" s="97">
        <v>8686</v>
      </c>
      <c r="I10" s="97">
        <v>9016</v>
      </c>
      <c r="K10" s="97"/>
      <c r="L10" s="97"/>
    </row>
    <row r="11" spans="1:12" x14ac:dyDescent="0.25">
      <c r="A11" s="3" t="s">
        <v>337</v>
      </c>
      <c r="B11" s="4"/>
      <c r="D11" s="3" t="s">
        <v>366</v>
      </c>
      <c r="E11" s="4"/>
      <c r="G11">
        <v>55</v>
      </c>
      <c r="H11" s="97">
        <v>9236</v>
      </c>
      <c r="I11" s="97">
        <v>9246</v>
      </c>
      <c r="K11" s="97"/>
      <c r="L11" s="97"/>
    </row>
    <row r="12" spans="1:12" x14ac:dyDescent="0.25">
      <c r="A12" s="4"/>
      <c r="B12" s="4"/>
      <c r="D12" s="3" t="s">
        <v>367</v>
      </c>
      <c r="E12" s="55">
        <v>8.5</v>
      </c>
      <c r="G12">
        <v>56</v>
      </c>
      <c r="H12" s="97">
        <v>9787</v>
      </c>
      <c r="I12" s="97">
        <v>9477</v>
      </c>
      <c r="K12" s="97"/>
      <c r="L12" s="97"/>
    </row>
    <row r="13" spans="1:12" x14ac:dyDescent="0.25">
      <c r="A13" s="3" t="s">
        <v>338</v>
      </c>
      <c r="B13" s="56">
        <v>4.1000000000000002E-2</v>
      </c>
      <c r="D13" s="3" t="s">
        <v>368</v>
      </c>
      <c r="E13" s="5">
        <f>ROUND(+E10/E12,0)</f>
        <v>-262</v>
      </c>
      <c r="G13">
        <v>57</v>
      </c>
      <c r="H13" s="97">
        <v>10337</v>
      </c>
      <c r="I13" s="97">
        <v>9707</v>
      </c>
      <c r="K13" s="97"/>
      <c r="L13" s="97"/>
    </row>
    <row r="14" spans="1:12" x14ac:dyDescent="0.25">
      <c r="A14" s="3" t="s">
        <v>339</v>
      </c>
      <c r="B14" s="54">
        <v>7.4999999999999997E-2</v>
      </c>
      <c r="D14" s="3" t="s">
        <v>369</v>
      </c>
      <c r="E14" s="5">
        <f>MIN(E10-E13*(E7-E6),0)</f>
        <v>-1442</v>
      </c>
      <c r="G14">
        <v>58</v>
      </c>
      <c r="H14" s="97">
        <v>10703</v>
      </c>
      <c r="I14" s="97">
        <v>9846</v>
      </c>
      <c r="K14" s="97"/>
      <c r="L14" s="97"/>
    </row>
    <row r="15" spans="1:12" x14ac:dyDescent="0.25">
      <c r="A15" s="3" t="s">
        <v>340</v>
      </c>
      <c r="B15" s="57" t="s">
        <v>341</v>
      </c>
      <c r="D15" s="3" t="s">
        <v>370</v>
      </c>
      <c r="E15" s="5">
        <f>MIN(E10-E13*(E7+1-E6),0)</f>
        <v>-1180</v>
      </c>
      <c r="G15">
        <v>59</v>
      </c>
      <c r="H15" s="97">
        <v>11068</v>
      </c>
      <c r="I15" s="97">
        <v>9984</v>
      </c>
      <c r="K15" s="97"/>
      <c r="L15" s="97"/>
    </row>
    <row r="16" spans="1:12" x14ac:dyDescent="0.25">
      <c r="A16" s="3" t="s">
        <v>342</v>
      </c>
      <c r="B16" s="56">
        <v>0.04</v>
      </c>
      <c r="G16">
        <v>60</v>
      </c>
      <c r="H16" s="97">
        <v>11434</v>
      </c>
      <c r="I16" s="97">
        <v>10123</v>
      </c>
      <c r="K16" s="97"/>
      <c r="L16" s="97"/>
    </row>
    <row r="17" spans="1:12" x14ac:dyDescent="0.25">
      <c r="A17" s="3" t="s">
        <v>343</v>
      </c>
      <c r="B17" s="54">
        <v>7.4999999999999997E-2</v>
      </c>
      <c r="D17" s="3" t="s">
        <v>383</v>
      </c>
      <c r="E17">
        <f>B34-B25-B32-E14+B30</f>
        <v>1548</v>
      </c>
      <c r="G17">
        <v>61</v>
      </c>
      <c r="H17" s="97">
        <v>11799</v>
      </c>
      <c r="I17" s="97">
        <v>10261</v>
      </c>
      <c r="K17" s="97"/>
      <c r="L17" s="97"/>
    </row>
    <row r="18" spans="1:12" x14ac:dyDescent="0.25">
      <c r="A18" s="3" t="s">
        <v>344</v>
      </c>
      <c r="B18" s="57" t="s">
        <v>341</v>
      </c>
      <c r="D18" s="3" t="s">
        <v>386</v>
      </c>
      <c r="E18">
        <f>ROUND(0.1*B34,0)</f>
        <v>3472</v>
      </c>
      <c r="G18">
        <v>62</v>
      </c>
      <c r="H18" s="97">
        <v>12165</v>
      </c>
      <c r="I18" s="97">
        <v>10399</v>
      </c>
      <c r="K18" s="97"/>
      <c r="L18" s="97"/>
    </row>
    <row r="19" spans="1:12" x14ac:dyDescent="0.25">
      <c r="D19" s="3" t="s">
        <v>387</v>
      </c>
      <c r="E19">
        <f>IF(E17=0,0,ABS(E17)/E17)*MAX(ABS(E17)-E18,0)</f>
        <v>0</v>
      </c>
      <c r="G19">
        <v>63</v>
      </c>
      <c r="H19" s="97">
        <v>12432</v>
      </c>
      <c r="I19" s="97">
        <v>10572</v>
      </c>
      <c r="K19" s="97"/>
      <c r="L19" s="97"/>
    </row>
    <row r="20" spans="1:12" x14ac:dyDescent="0.25">
      <c r="D20" s="3" t="s">
        <v>388</v>
      </c>
      <c r="E20" s="55">
        <v>8</v>
      </c>
      <c r="G20">
        <v>64</v>
      </c>
      <c r="H20" s="97">
        <v>12699</v>
      </c>
      <c r="I20" s="97">
        <v>10745</v>
      </c>
      <c r="K20" s="97"/>
      <c r="L20" s="97"/>
    </row>
    <row r="21" spans="1:12" x14ac:dyDescent="0.25">
      <c r="D21" s="3" t="s">
        <v>389</v>
      </c>
      <c r="E21">
        <f>ROUND(E19/E20,0)</f>
        <v>0</v>
      </c>
      <c r="G21">
        <v>65</v>
      </c>
      <c r="H21" s="97">
        <v>3631</v>
      </c>
      <c r="I21" s="97">
        <v>3562</v>
      </c>
      <c r="K21" s="97"/>
      <c r="L21" s="97"/>
    </row>
    <row r="22" spans="1:12" x14ac:dyDescent="0.25">
      <c r="A22" s="3" t="str">
        <f>REPLACE("Funded status on December 31, 1989 (Liability for postretirement benefits)",31,4,FIXED(B9-1,0,TRUE))</f>
        <v>Funded status on December 31, 2015 (Liability for postretirement benefits)</v>
      </c>
      <c r="B22" s="99">
        <f>-ROUND('OPEVS results'!B9/1000,0)</f>
        <v>-34723</v>
      </c>
      <c r="G22">
        <v>70</v>
      </c>
      <c r="H22" s="97">
        <v>4212</v>
      </c>
      <c r="I22" s="97">
        <v>4085</v>
      </c>
      <c r="K22" s="97"/>
      <c r="L22" s="97"/>
    </row>
    <row r="23" spans="1:12" x14ac:dyDescent="0.25">
      <c r="A23" s="3" t="str">
        <f>"Year "&amp;B9&amp;" payouts"</f>
        <v>Year 2016 payouts</v>
      </c>
      <c r="B23" s="55">
        <v>-1542</v>
      </c>
      <c r="G23">
        <v>75</v>
      </c>
      <c r="H23" s="97">
        <v>4642</v>
      </c>
      <c r="I23" s="97">
        <v>4859</v>
      </c>
      <c r="K23" s="97"/>
      <c r="L23" s="97"/>
    </row>
    <row r="24" spans="1:12" x14ac:dyDescent="0.25">
      <c r="A24" s="3" t="str">
        <f>"Expected benefit payments for the year "&amp;B9</f>
        <v>Expected benefit payments for the year 2016</v>
      </c>
      <c r="B24" s="99">
        <f>ROUND('OPEVS results'!J3/1000,0)</f>
        <v>1551</v>
      </c>
      <c r="D24" s="3" t="s">
        <v>390</v>
      </c>
      <c r="E24" s="4"/>
      <c r="G24">
        <v>80</v>
      </c>
      <c r="H24" s="97">
        <v>4986</v>
      </c>
      <c r="I24" s="97">
        <v>5479</v>
      </c>
      <c r="K24" s="97"/>
      <c r="L24" s="97"/>
    </row>
    <row r="25" spans="1:12" x14ac:dyDescent="0.25">
      <c r="A25" s="3" t="s">
        <v>373</v>
      </c>
      <c r="B25" s="55">
        <v>0</v>
      </c>
      <c r="D25" s="4"/>
      <c r="E25" s="4"/>
      <c r="G25">
        <v>85</v>
      </c>
      <c r="H25" s="97">
        <v>5115</v>
      </c>
      <c r="I25" s="97">
        <v>5725</v>
      </c>
      <c r="K25" s="97"/>
      <c r="L25" s="97"/>
    </row>
    <row r="26" spans="1:12" x14ac:dyDescent="0.25">
      <c r="A26" s="3" t="s">
        <v>374</v>
      </c>
      <c r="B26" s="55">
        <v>0</v>
      </c>
      <c r="D26" s="4"/>
      <c r="E26" s="4"/>
    </row>
    <row r="27" spans="1:12" x14ac:dyDescent="0.25">
      <c r="A27" s="3" t="s">
        <v>375</v>
      </c>
      <c r="B27" s="55">
        <v>0</v>
      </c>
      <c r="D27" s="3" t="s">
        <v>391</v>
      </c>
      <c r="E27" s="5">
        <f>B34</f>
        <v>34723</v>
      </c>
    </row>
    <row r="28" spans="1:12" x14ac:dyDescent="0.25">
      <c r="A28" s="46" t="s">
        <v>376</v>
      </c>
      <c r="B28" s="55">
        <v>0</v>
      </c>
      <c r="D28" s="3" t="s">
        <v>392</v>
      </c>
      <c r="E28" s="5">
        <f>E27*B13</f>
        <v>1423.643</v>
      </c>
    </row>
    <row r="29" spans="1:12" x14ac:dyDescent="0.25">
      <c r="A29" s="5" t="str">
        <f>REPLACE("Unrestricted net assets as of December 31, 1990",44,4,FIXED(B9-1,0,TRUE))</f>
        <v>Unrestricted net assets as of December 31, 2015</v>
      </c>
      <c r="B29" s="55">
        <v>106</v>
      </c>
      <c r="D29" s="3" t="s">
        <v>393</v>
      </c>
      <c r="E29" s="5">
        <f>REPORT!C472</f>
        <v>369</v>
      </c>
    </row>
    <row r="30" spans="1:12" x14ac:dyDescent="0.25">
      <c r="A30" s="5" t="s">
        <v>377</v>
      </c>
      <c r="B30" s="55">
        <v>-34617</v>
      </c>
      <c r="D30" s="23" t="s">
        <v>394</v>
      </c>
      <c r="E30" s="5">
        <f>-B23</f>
        <v>1542</v>
      </c>
    </row>
    <row r="31" spans="1:12" x14ac:dyDescent="0.25">
      <c r="A31" s="23" t="s">
        <v>379</v>
      </c>
      <c r="B31" s="55">
        <v>0</v>
      </c>
      <c r="D31" s="3" t="s">
        <v>395</v>
      </c>
      <c r="E31" s="5">
        <f>E28-REPORT!C474</f>
        <v>31.643000000000029</v>
      </c>
    </row>
    <row r="32" spans="1:12" x14ac:dyDescent="0.25">
      <c r="A32" s="3" t="s">
        <v>381</v>
      </c>
      <c r="B32" s="55">
        <v>0</v>
      </c>
      <c r="D32" s="4" t="s">
        <v>396</v>
      </c>
      <c r="E32" s="4"/>
    </row>
    <row r="33" spans="1:5" x14ac:dyDescent="0.25">
      <c r="A33" s="46" t="s">
        <v>382</v>
      </c>
      <c r="B33" s="55">
        <v>0</v>
      </c>
      <c r="D33" s="3" t="s">
        <v>397</v>
      </c>
      <c r="E33" s="4"/>
    </row>
    <row r="34" spans="1:5" x14ac:dyDescent="0.25">
      <c r="A34" s="3" t="s">
        <v>384</v>
      </c>
      <c r="B34">
        <f>ROUND('OPEVS results'!B9/1000,0)</f>
        <v>34723</v>
      </c>
      <c r="D34" s="3" t="s">
        <v>398</v>
      </c>
      <c r="E34" s="5">
        <f>E27+E28+E29-E30-E31</f>
        <v>34942</v>
      </c>
    </row>
    <row r="35" spans="1:5" x14ac:dyDescent="0.25">
      <c r="A35" s="46" t="s">
        <v>385</v>
      </c>
      <c r="B35">
        <f>ROUND('OPEVS results'!B24/1000,0)</f>
        <v>31619</v>
      </c>
      <c r="D35" s="3" t="s">
        <v>445</v>
      </c>
      <c r="E35">
        <f>B35</f>
        <v>31619</v>
      </c>
    </row>
    <row r="36" spans="1:5" x14ac:dyDescent="0.25">
      <c r="D36" s="3" t="s">
        <v>446</v>
      </c>
      <c r="E36">
        <f>E35-E34</f>
        <v>-3323</v>
      </c>
    </row>
    <row r="37" spans="1:5" x14ac:dyDescent="0.25">
      <c r="A37" t="s">
        <v>422</v>
      </c>
      <c r="B37" s="55">
        <v>-3419</v>
      </c>
    </row>
    <row r="38" spans="1:5" x14ac:dyDescent="0.25">
      <c r="D38" s="3" t="s">
        <v>447</v>
      </c>
      <c r="E38">
        <v>1548</v>
      </c>
    </row>
    <row r="39" spans="1:5" x14ac:dyDescent="0.25">
      <c r="D39" s="3" t="s">
        <v>448</v>
      </c>
      <c r="E39">
        <v>0</v>
      </c>
    </row>
    <row r="40" spans="1:5" x14ac:dyDescent="0.25">
      <c r="D40" s="3" t="s">
        <v>449</v>
      </c>
      <c r="E40">
        <f>E36+E38-E39</f>
        <v>-1775</v>
      </c>
    </row>
    <row r="42" spans="1:5" x14ac:dyDescent="0.25">
      <c r="D42" t="s">
        <v>561</v>
      </c>
    </row>
    <row r="43" spans="1:5" x14ac:dyDescent="0.25">
      <c r="D43" t="s">
        <v>562</v>
      </c>
      <c r="E43">
        <f>B30</f>
        <v>-34617</v>
      </c>
    </row>
    <row r="44" spans="1:5" x14ac:dyDescent="0.25">
      <c r="D44" t="s">
        <v>563</v>
      </c>
      <c r="E44">
        <v>1499</v>
      </c>
    </row>
    <row r="45" spans="1:5" x14ac:dyDescent="0.25">
      <c r="D45" t="s">
        <v>564</v>
      </c>
      <c r="E45">
        <f>-B23</f>
        <v>1542</v>
      </c>
    </row>
    <row r="46" spans="1:5" x14ac:dyDescent="0.25">
      <c r="D46" t="s">
        <v>565</v>
      </c>
      <c r="E46">
        <f>E43-E44+E45</f>
        <v>-34574</v>
      </c>
    </row>
    <row r="48" spans="1:5" x14ac:dyDescent="0.25">
      <c r="D48" s="3" t="s">
        <v>566</v>
      </c>
      <c r="E48">
        <f>E40</f>
        <v>-1775</v>
      </c>
    </row>
    <row r="49" spans="4:5" x14ac:dyDescent="0.25">
      <c r="D49" s="3" t="s">
        <v>386</v>
      </c>
      <c r="E49">
        <f>ROUND(0.1*B34,0)</f>
        <v>3472</v>
      </c>
    </row>
    <row r="50" spans="4:5" x14ac:dyDescent="0.25">
      <c r="D50" s="3" t="s">
        <v>387</v>
      </c>
      <c r="E50">
        <f>IF(E48=0,0,ABS(E48)/E48)*MAX(ABS(E48)-E49,0)</f>
        <v>0</v>
      </c>
    </row>
    <row r="51" spans="4:5" x14ac:dyDescent="0.25">
      <c r="D51" s="3" t="s">
        <v>388</v>
      </c>
      <c r="E51" s="55">
        <v>8</v>
      </c>
    </row>
    <row r="52" spans="4:5" x14ac:dyDescent="0.25">
      <c r="D52" s="3" t="s">
        <v>389</v>
      </c>
      <c r="E52">
        <f>ROUND(E50/E51,0)</f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"/>
  <sheetViews>
    <sheetView workbookViewId="0">
      <selection activeCell="B1" sqref="B1"/>
    </sheetView>
  </sheetViews>
  <sheetFormatPr defaultRowHeight="15" x14ac:dyDescent="0.25"/>
  <cols>
    <col min="1" max="1" width="37.42578125" bestFit="1" customWidth="1"/>
    <col min="2" max="2" width="13.85546875" bestFit="1" customWidth="1"/>
    <col min="3" max="3" width="15.85546875" bestFit="1" customWidth="1"/>
    <col min="4" max="4" width="16" bestFit="1" customWidth="1"/>
    <col min="5" max="5" width="17" bestFit="1" customWidth="1"/>
    <col min="6" max="7" width="17" customWidth="1"/>
    <col min="9" max="9" width="11.28515625" bestFit="1" customWidth="1"/>
    <col min="10" max="10" width="12.42578125" bestFit="1" customWidth="1"/>
  </cols>
  <sheetData>
    <row r="1" spans="1:10" x14ac:dyDescent="0.25">
      <c r="A1" s="2" t="str">
        <f>Calculations!B6</f>
        <v xml:space="preserve">    01/01/16</v>
      </c>
    </row>
    <row r="2" spans="1:10" x14ac:dyDescent="0.25">
      <c r="A2" s="58" t="str">
        <f>"Discount rate: "&amp;Calculations!B13*100&amp;"%"</f>
        <v>Discount rate: 4.1%</v>
      </c>
      <c r="B2" s="59" t="s">
        <v>345</v>
      </c>
      <c r="C2" s="59" t="s">
        <v>346</v>
      </c>
      <c r="D2" s="59" t="s">
        <v>347</v>
      </c>
      <c r="E2" s="59" t="s">
        <v>348</v>
      </c>
      <c r="F2" s="59"/>
      <c r="G2" s="59"/>
    </row>
    <row r="3" spans="1:10" x14ac:dyDescent="0.25">
      <c r="C3" t="s">
        <v>35</v>
      </c>
      <c r="D3" s="60"/>
      <c r="I3" s="66">
        <f>Calculations!B9</f>
        <v>2016</v>
      </c>
      <c r="J3" s="71">
        <v>1551363.5549999999</v>
      </c>
    </row>
    <row r="4" spans="1:10" x14ac:dyDescent="0.25">
      <c r="A4" t="s">
        <v>349</v>
      </c>
      <c r="B4" s="70">
        <v>4088748.8599999994</v>
      </c>
      <c r="D4" s="70">
        <v>4921149.3449999997</v>
      </c>
      <c r="I4" s="66">
        <f t="shared" ref="I4:I12" si="0">I3+1</f>
        <v>2017</v>
      </c>
      <c r="J4" s="71">
        <v>1612239.1949999998</v>
      </c>
    </row>
    <row r="5" spans="1:10" x14ac:dyDescent="0.25">
      <c r="A5" t="s">
        <v>350</v>
      </c>
      <c r="B5" s="70">
        <v>1972964.1049999997</v>
      </c>
      <c r="D5" s="70">
        <v>2588746.335</v>
      </c>
      <c r="I5" s="66">
        <f t="shared" si="0"/>
        <v>2018</v>
      </c>
      <c r="J5" s="71">
        <v>1666025.0599999998</v>
      </c>
    </row>
    <row r="6" spans="1:10" x14ac:dyDescent="0.25">
      <c r="A6" t="s">
        <v>351</v>
      </c>
      <c r="B6" s="70">
        <v>0</v>
      </c>
      <c r="D6" s="70">
        <v>0</v>
      </c>
      <c r="I6" s="66">
        <f t="shared" si="0"/>
        <v>2019</v>
      </c>
      <c r="J6" s="71">
        <v>1724557.0649999999</v>
      </c>
    </row>
    <row r="7" spans="1:10" x14ac:dyDescent="0.25">
      <c r="A7" t="s">
        <v>352</v>
      </c>
      <c r="B7" s="70">
        <v>28661416</v>
      </c>
      <c r="D7" s="70">
        <v>32471754.139999997</v>
      </c>
      <c r="I7" s="66">
        <f t="shared" si="0"/>
        <v>2020</v>
      </c>
      <c r="J7" s="71">
        <v>1773947.9799999997</v>
      </c>
    </row>
    <row r="8" spans="1:10" x14ac:dyDescent="0.25">
      <c r="B8" s="61" t="s">
        <v>91</v>
      </c>
      <c r="C8" s="62"/>
      <c r="D8" s="61" t="s">
        <v>91</v>
      </c>
      <c r="E8" s="62"/>
      <c r="F8" s="62"/>
      <c r="G8" s="62"/>
      <c r="I8" s="66">
        <f t="shared" si="0"/>
        <v>2021</v>
      </c>
      <c r="J8" s="71">
        <v>1839078.4999999998</v>
      </c>
    </row>
    <row r="9" spans="1:10" x14ac:dyDescent="0.25">
      <c r="A9" t="s">
        <v>353</v>
      </c>
      <c r="B9" s="71">
        <f>SUM(B4:B8)</f>
        <v>34723128.964999996</v>
      </c>
      <c r="C9" s="70">
        <v>353567.12999999995</v>
      </c>
      <c r="D9" s="71">
        <f>SUM(D4:D8)</f>
        <v>39981649.819999993</v>
      </c>
      <c r="E9" s="70">
        <v>456897.17499999993</v>
      </c>
      <c r="F9" s="70"/>
      <c r="G9" s="70"/>
      <c r="I9" s="66">
        <f t="shared" si="0"/>
        <v>2022</v>
      </c>
      <c r="J9" s="71">
        <v>1857684.4649999999</v>
      </c>
    </row>
    <row r="10" spans="1:10" x14ac:dyDescent="0.25">
      <c r="A10" s="64"/>
      <c r="B10" s="68"/>
      <c r="C10" s="68"/>
      <c r="D10" s="63">
        <f>+D9/B9</f>
        <v>1.1514414458530062</v>
      </c>
      <c r="E10" s="63">
        <f>+E9/C9</f>
        <v>1.2922501449724695</v>
      </c>
      <c r="F10" s="63"/>
      <c r="G10" s="63"/>
      <c r="I10" s="66">
        <f t="shared" si="0"/>
        <v>2023</v>
      </c>
      <c r="J10" s="71">
        <v>1889128.15</v>
      </c>
    </row>
    <row r="11" spans="1:10" x14ac:dyDescent="0.25">
      <c r="A11" s="64"/>
      <c r="B11" t="s">
        <v>357</v>
      </c>
      <c r="C11" s="71">
        <f>(B9-$J$3/2)*Calculations!$B$13</f>
        <v>1391845.3346874998</v>
      </c>
      <c r="D11" t="s">
        <v>358</v>
      </c>
      <c r="E11" s="71">
        <f>(D9-$J$18)*Calculations!$B$13</f>
        <v>1582393.0631599997</v>
      </c>
      <c r="F11" s="71"/>
      <c r="G11" s="71"/>
      <c r="I11" s="66">
        <f t="shared" si="0"/>
        <v>2024</v>
      </c>
      <c r="J11" s="71">
        <v>1903099.6249999998</v>
      </c>
    </row>
    <row r="12" spans="1:10" x14ac:dyDescent="0.25">
      <c r="A12" s="64"/>
      <c r="B12" s="65"/>
      <c r="C12" s="65"/>
      <c r="E12" s="63">
        <f>+E11/C11</f>
        <v>1.1369029472770278</v>
      </c>
      <c r="F12" s="63"/>
      <c r="G12" s="63"/>
      <c r="I12" s="66">
        <f t="shared" si="0"/>
        <v>2025</v>
      </c>
      <c r="J12" s="71">
        <v>1847072.64</v>
      </c>
    </row>
    <row r="13" spans="1:10" x14ac:dyDescent="0.25">
      <c r="A13" s="64"/>
      <c r="B13" t="s">
        <v>353</v>
      </c>
      <c r="C13" s="71">
        <f>C9+C11</f>
        <v>1745412.4646874997</v>
      </c>
      <c r="D13" t="s">
        <v>359</v>
      </c>
      <c r="E13" s="71">
        <f>E9+E11</f>
        <v>2039290.2381599997</v>
      </c>
      <c r="F13" s="71"/>
      <c r="G13" s="71"/>
    </row>
    <row r="14" spans="1:10" x14ac:dyDescent="0.25">
      <c r="A14" s="64"/>
      <c r="E14" s="63">
        <f>+E13/C13</f>
        <v>1.1683715336163343</v>
      </c>
      <c r="F14" s="63"/>
      <c r="G14" s="63"/>
    </row>
    <row r="15" spans="1:10" x14ac:dyDescent="0.25">
      <c r="A15" s="69"/>
      <c r="B15" s="64"/>
      <c r="C15" s="64"/>
    </row>
    <row r="16" spans="1:10" x14ac:dyDescent="0.25">
      <c r="A16" s="2" t="str">
        <f>Calculations!B8</f>
        <v xml:space="preserve">    01/01/17</v>
      </c>
    </row>
    <row r="17" spans="1:10" x14ac:dyDescent="0.25">
      <c r="A17" s="58" t="str">
        <f>"Discount rate: "&amp;Calculations!B16*100&amp;"%"</f>
        <v>Discount rate: 4%</v>
      </c>
      <c r="B17" s="59" t="s">
        <v>345</v>
      </c>
      <c r="C17" s="59" t="s">
        <v>346</v>
      </c>
      <c r="D17" s="59" t="s">
        <v>347</v>
      </c>
      <c r="E17" s="59" t="s">
        <v>348</v>
      </c>
      <c r="F17" s="59" t="s">
        <v>419</v>
      </c>
      <c r="G17" s="59" t="s">
        <v>420</v>
      </c>
      <c r="I17" t="s">
        <v>354</v>
      </c>
      <c r="J17" t="s">
        <v>355</v>
      </c>
    </row>
    <row r="18" spans="1:10" x14ac:dyDescent="0.25">
      <c r="C18" t="s">
        <v>35</v>
      </c>
      <c r="D18" s="60"/>
      <c r="I18" s="66">
        <f>Calculations!B9+1</f>
        <v>2017</v>
      </c>
      <c r="J18" s="71">
        <f>'OPEVS runs'!E30</f>
        <v>1386697.0599999998</v>
      </c>
    </row>
    <row r="19" spans="1:10" x14ac:dyDescent="0.25">
      <c r="A19" t="s">
        <v>349</v>
      </c>
      <c r="B19" s="71">
        <f>'OPEVS runs'!E8</f>
        <v>4024169.4849999994</v>
      </c>
      <c r="C19" s="91"/>
      <c r="D19" s="71">
        <f>'OPEVS runs'!E52</f>
        <v>4837725.4799999995</v>
      </c>
      <c r="F19" s="88">
        <f>'OPEVS runs'!E95</f>
        <v>3382331.1899999995</v>
      </c>
      <c r="I19" s="66">
        <f t="shared" ref="I19:I27" si="1">I18+1</f>
        <v>2018</v>
      </c>
      <c r="J19" s="71">
        <f>'OPEVS runs'!E31</f>
        <v>1445364.0599999998</v>
      </c>
    </row>
    <row r="20" spans="1:10" x14ac:dyDescent="0.25">
      <c r="A20" t="s">
        <v>350</v>
      </c>
      <c r="B20" s="71">
        <f>'OPEVS runs'!E9</f>
        <v>2010829.6949999998</v>
      </c>
      <c r="C20" s="91"/>
      <c r="D20" s="71">
        <f>'OPEVS runs'!E53</f>
        <v>2650804.4499999997</v>
      </c>
      <c r="F20" s="88">
        <f>'OPEVS runs'!E96</f>
        <v>1547987.6649999998</v>
      </c>
      <c r="I20" s="66">
        <f t="shared" si="1"/>
        <v>2019</v>
      </c>
      <c r="J20" s="71">
        <f>'OPEVS runs'!E32</f>
        <v>1502303.5299999998</v>
      </c>
    </row>
    <row r="21" spans="1:10" x14ac:dyDescent="0.25">
      <c r="A21" t="s">
        <v>351</v>
      </c>
      <c r="B21" s="71">
        <f>'OPEVS runs'!E10</f>
        <v>0</v>
      </c>
      <c r="C21" s="67"/>
      <c r="D21" s="71">
        <f>'OPEVS runs'!E54</f>
        <v>0</v>
      </c>
      <c r="F21" s="88">
        <f>'OPEVS runs'!E97</f>
        <v>0</v>
      </c>
      <c r="I21" s="66">
        <f t="shared" si="1"/>
        <v>2020</v>
      </c>
      <c r="J21" s="71">
        <f>'OPEVS runs'!E33</f>
        <v>1549455.3549999997</v>
      </c>
    </row>
    <row r="22" spans="1:10" x14ac:dyDescent="0.25">
      <c r="A22" t="s">
        <v>352</v>
      </c>
      <c r="B22" s="71">
        <f>'OPEVS runs'!E11</f>
        <v>25584397.544999998</v>
      </c>
      <c r="C22" s="91"/>
      <c r="D22" s="71">
        <f>'OPEVS runs'!E55</f>
        <v>28804806.799999997</v>
      </c>
      <c r="E22" s="91"/>
      <c r="F22" s="88">
        <f>'OPEVS runs'!E98</f>
        <v>22882554.834999997</v>
      </c>
      <c r="G22" s="91"/>
      <c r="I22" s="66">
        <f t="shared" si="1"/>
        <v>2021</v>
      </c>
      <c r="J22" s="71">
        <f>'OPEVS runs'!E34</f>
        <v>1610208.18</v>
      </c>
    </row>
    <row r="23" spans="1:10" x14ac:dyDescent="0.25">
      <c r="B23" s="92" t="s">
        <v>91</v>
      </c>
      <c r="C23" s="92"/>
      <c r="D23" s="92" t="s">
        <v>91</v>
      </c>
      <c r="E23" s="92"/>
      <c r="F23" s="92"/>
      <c r="G23" s="92"/>
      <c r="I23" s="66">
        <f t="shared" si="1"/>
        <v>2022</v>
      </c>
      <c r="J23" s="71">
        <f>'OPEVS runs'!E35</f>
        <v>1639488.9</v>
      </c>
    </row>
    <row r="24" spans="1:10" x14ac:dyDescent="0.25">
      <c r="A24" t="s">
        <v>353</v>
      </c>
      <c r="B24" s="71">
        <f>SUM(B19:B23)</f>
        <v>31619396.724999998</v>
      </c>
      <c r="C24" s="71">
        <f>'OPEVS runs'!$E$14</f>
        <v>315156.48499999999</v>
      </c>
      <c r="D24" s="71">
        <f>SUM(D19:D23)</f>
        <v>36293336.729999997</v>
      </c>
      <c r="E24" s="71">
        <f>'OPEVS runs'!E58</f>
        <v>412021.99499999994</v>
      </c>
      <c r="F24" s="71">
        <f>SUM(F19:F22)</f>
        <v>27812873.689999998</v>
      </c>
      <c r="G24" s="71">
        <f>'OPEVS runs'!E101</f>
        <v>244785.52</v>
      </c>
      <c r="I24" s="66">
        <f t="shared" si="1"/>
        <v>2023</v>
      </c>
      <c r="J24" s="71">
        <f>'OPEVS runs'!E36</f>
        <v>1686696.5499999998</v>
      </c>
    </row>
    <row r="25" spans="1:10" x14ac:dyDescent="0.25">
      <c r="D25" s="63">
        <f>+D24/B24</f>
        <v>1.1478187596572496</v>
      </c>
      <c r="E25" s="63">
        <f>+E24/C24</f>
        <v>1.3073568674939371</v>
      </c>
      <c r="F25" s="63"/>
      <c r="G25" s="63"/>
      <c r="I25" s="66">
        <f t="shared" si="1"/>
        <v>2024</v>
      </c>
      <c r="J25" s="71">
        <f>'OPEVS runs'!E37</f>
        <v>1725566.9899999998</v>
      </c>
    </row>
    <row r="26" spans="1:10" x14ac:dyDescent="0.25">
      <c r="B26" t="s">
        <v>357</v>
      </c>
      <c r="C26" s="71">
        <f>(B24-$J$18/2)*Calculations!$B$16</f>
        <v>1237041.9277999999</v>
      </c>
      <c r="D26" t="s">
        <v>358</v>
      </c>
      <c r="E26" s="71">
        <f>(D24-$J$18/2)*Calculations!$B$16</f>
        <v>1423999.5279999999</v>
      </c>
      <c r="F26" s="71"/>
      <c r="G26" s="71">
        <f>(F24-$J$18+G24)*Calculations!$B$16</f>
        <v>1066838.486</v>
      </c>
      <c r="I26" s="66">
        <f t="shared" si="1"/>
        <v>2025</v>
      </c>
      <c r="J26" s="71">
        <f>'OPEVS runs'!E38</f>
        <v>1708347.5149999999</v>
      </c>
    </row>
    <row r="27" spans="1:10" x14ac:dyDescent="0.25">
      <c r="B27" s="65"/>
      <c r="C27" s="65"/>
      <c r="E27" s="63">
        <f>+E26/C26</f>
        <v>1.1511327918629986</v>
      </c>
      <c r="F27" s="63"/>
      <c r="G27" s="63"/>
      <c r="I27" s="66">
        <f t="shared" si="1"/>
        <v>2026</v>
      </c>
      <c r="J27" s="71">
        <f>'OPEVS runs'!E39</f>
        <v>1749162.6949999998</v>
      </c>
    </row>
    <row r="28" spans="1:10" x14ac:dyDescent="0.25">
      <c r="B28" t="s">
        <v>353</v>
      </c>
      <c r="C28" s="71">
        <f>C24+C26</f>
        <v>1552198.4128</v>
      </c>
      <c r="D28" t="s">
        <v>359</v>
      </c>
      <c r="E28" s="71">
        <f>E24+E26</f>
        <v>1836021.5229999998</v>
      </c>
      <c r="F28" s="71"/>
      <c r="G28" s="71">
        <v>1301974.7663999998</v>
      </c>
    </row>
    <row r="29" spans="1:10" x14ac:dyDescent="0.25">
      <c r="E29" s="63">
        <f>+E28/C28</f>
        <v>1.1828523388888237</v>
      </c>
      <c r="F29" s="63"/>
      <c r="G29" s="63"/>
      <c r="I29" s="1" t="str">
        <f>I23&amp;"-"&amp;I27</f>
        <v>2022-2026</v>
      </c>
      <c r="J29" s="71">
        <f>SUM(J23:J27)</f>
        <v>8509262.6499999985</v>
      </c>
    </row>
    <row r="30" spans="1:10" x14ac:dyDescent="0.25">
      <c r="I30" s="1"/>
    </row>
    <row r="31" spans="1:10" x14ac:dyDescent="0.25">
      <c r="I31" s="1"/>
    </row>
    <row r="32" spans="1:10" x14ac:dyDescent="0.25">
      <c r="A32" t="str">
        <f>A16&amp;" results at "&amp;RIGHT(A2,5)&amp;" discount rate"</f>
        <v xml:space="preserve">    01/01/17 results at  4.1% discount rate</v>
      </c>
      <c r="I32" s="1"/>
    </row>
    <row r="33" spans="1:9" x14ac:dyDescent="0.25">
      <c r="A33" t="s">
        <v>349</v>
      </c>
      <c r="B33" s="71">
        <f>'OPEVS runs'!L8</f>
        <v>3950486.5749999997</v>
      </c>
      <c r="I33" s="1"/>
    </row>
    <row r="34" spans="1:9" x14ac:dyDescent="0.25">
      <c r="A34" t="s">
        <v>350</v>
      </c>
      <c r="B34" s="71">
        <f>'OPEVS runs'!L9</f>
        <v>1956192.2449999999</v>
      </c>
      <c r="I34" s="1"/>
    </row>
    <row r="35" spans="1:9" x14ac:dyDescent="0.25">
      <c r="A35" t="s">
        <v>351</v>
      </c>
      <c r="B35" s="71">
        <f>'OPEVS runs'!L10</f>
        <v>0</v>
      </c>
      <c r="I35" s="1"/>
    </row>
    <row r="36" spans="1:9" x14ac:dyDescent="0.25">
      <c r="A36" t="s">
        <v>352</v>
      </c>
      <c r="B36" s="71">
        <f>'OPEVS runs'!L11</f>
        <v>24919371.574999999</v>
      </c>
    </row>
    <row r="37" spans="1:9" x14ac:dyDescent="0.25">
      <c r="B37" s="71">
        <f>SUM(B33:B36)</f>
        <v>30826050.395</v>
      </c>
    </row>
    <row r="38" spans="1:9" x14ac:dyDescent="0.25">
      <c r="B38" s="71"/>
    </row>
    <row r="39" spans="1:9" x14ac:dyDescent="0.25">
      <c r="A39" t="s">
        <v>356</v>
      </c>
      <c r="B39" s="71">
        <f>B37-B24</f>
        <v>-793346.32999999821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26"/>
  <sheetViews>
    <sheetView workbookViewId="0">
      <selection activeCell="F2" sqref="F2"/>
    </sheetView>
  </sheetViews>
  <sheetFormatPr defaultRowHeight="15" x14ac:dyDescent="0.25"/>
  <cols>
    <col min="1" max="1" width="12.5703125" bestFit="1" customWidth="1"/>
    <col min="2" max="2" width="18.28515625" bestFit="1" customWidth="1"/>
    <col min="3" max="3" width="10.85546875" bestFit="1" customWidth="1"/>
    <col min="4" max="4" width="10.7109375" bestFit="1" customWidth="1"/>
    <col min="5" max="5" width="10.85546875" bestFit="1" customWidth="1"/>
    <col min="8" max="8" width="12.5703125" bestFit="1" customWidth="1"/>
    <col min="9" max="9" width="18.28515625" bestFit="1" customWidth="1"/>
    <col min="10" max="10" width="10.85546875" bestFit="1" customWidth="1"/>
    <col min="11" max="11" width="10.7109375" bestFit="1" customWidth="1"/>
    <col min="12" max="12" width="10.85546875" bestFit="1" customWidth="1"/>
  </cols>
  <sheetData>
    <row r="2" spans="1:12" x14ac:dyDescent="0.25">
      <c r="B2" s="74" t="s">
        <v>403</v>
      </c>
      <c r="D2" t="s">
        <v>404</v>
      </c>
      <c r="E2" s="93">
        <v>1.4999999999999999E-2</v>
      </c>
      <c r="F2" t="s">
        <v>609</v>
      </c>
      <c r="I2" s="74" t="s">
        <v>434</v>
      </c>
      <c r="K2" t="s">
        <v>404</v>
      </c>
      <c r="L2" s="75">
        <f>E2</f>
        <v>1.4999999999999999E-2</v>
      </c>
    </row>
    <row r="3" spans="1:12" x14ac:dyDescent="0.25">
      <c r="F3" t="s">
        <v>610</v>
      </c>
    </row>
    <row r="4" spans="1:12" x14ac:dyDescent="0.25">
      <c r="C4" s="76" t="s">
        <v>433</v>
      </c>
      <c r="D4" s="76" t="s">
        <v>402</v>
      </c>
      <c r="E4" s="74" t="s">
        <v>353</v>
      </c>
      <c r="J4" s="76" t="s">
        <v>433</v>
      </c>
      <c r="K4" s="76" t="s">
        <v>402</v>
      </c>
      <c r="L4" s="74" t="s">
        <v>353</v>
      </c>
    </row>
    <row r="5" spans="1:12" x14ac:dyDescent="0.25">
      <c r="A5" s="74"/>
      <c r="B5" s="74" t="s">
        <v>405</v>
      </c>
      <c r="C5" s="77" t="s">
        <v>607</v>
      </c>
      <c r="D5" s="77" t="s">
        <v>607</v>
      </c>
      <c r="E5" s="78" t="str">
        <f>C5</f>
        <v xml:space="preserve">  1- 1-2017</v>
      </c>
      <c r="H5" s="74"/>
      <c r="I5" s="74" t="s">
        <v>405</v>
      </c>
      <c r="J5" s="77" t="s">
        <v>607</v>
      </c>
      <c r="K5" s="77" t="s">
        <v>607</v>
      </c>
      <c r="L5" s="78" t="str">
        <f>J5</f>
        <v xml:space="preserve">  1- 1-2017</v>
      </c>
    </row>
    <row r="6" spans="1:12" x14ac:dyDescent="0.25">
      <c r="A6" s="74"/>
      <c r="B6" s="74" t="s">
        <v>406</v>
      </c>
      <c r="C6" s="79">
        <v>0.04</v>
      </c>
      <c r="D6" s="79">
        <v>0.04</v>
      </c>
      <c r="E6" s="80">
        <f>C6</f>
        <v>0.04</v>
      </c>
      <c r="H6" s="74"/>
      <c r="I6" s="74" t="s">
        <v>406</v>
      </c>
      <c r="J6" s="79">
        <v>4.1000000000000002E-2</v>
      </c>
      <c r="K6" s="79">
        <v>4.1000000000000002E-2</v>
      </c>
      <c r="L6" s="80">
        <f>J6</f>
        <v>4.1000000000000002E-2</v>
      </c>
    </row>
    <row r="7" spans="1:12" x14ac:dyDescent="0.25">
      <c r="A7" s="74"/>
      <c r="B7" s="74"/>
      <c r="C7" s="77"/>
      <c r="D7" s="77"/>
      <c r="E7" s="78"/>
      <c r="H7" s="74"/>
      <c r="I7" s="74"/>
      <c r="J7" s="77"/>
      <c r="K7" s="77"/>
      <c r="L7" s="78"/>
    </row>
    <row r="8" spans="1:12" x14ac:dyDescent="0.25">
      <c r="A8" s="74" t="s">
        <v>345</v>
      </c>
      <c r="B8" s="60" t="s">
        <v>407</v>
      </c>
      <c r="C8" s="81">
        <v>3697452</v>
      </c>
      <c r="D8" s="81">
        <v>267247</v>
      </c>
      <c r="E8" s="82">
        <f>SUM(C8:D8)*(1+$E$2)</f>
        <v>4024169.4849999994</v>
      </c>
      <c r="H8" s="74" t="s">
        <v>345</v>
      </c>
      <c r="I8" s="60" t="s">
        <v>407</v>
      </c>
      <c r="J8" s="81">
        <v>3630089</v>
      </c>
      <c r="K8" s="81">
        <v>262016</v>
      </c>
      <c r="L8" s="82">
        <f>SUM(J8:K8)*(1+$E$2)</f>
        <v>3950486.5749999997</v>
      </c>
    </row>
    <row r="9" spans="1:12" x14ac:dyDescent="0.25">
      <c r="A9" s="74"/>
      <c r="B9" s="60" t="s">
        <v>408</v>
      </c>
      <c r="C9" s="81">
        <v>1786908</v>
      </c>
      <c r="D9" s="81">
        <v>194205</v>
      </c>
      <c r="E9" s="82">
        <f>SUM(C9:D9)*(1+$E$2)</f>
        <v>2010829.6949999998</v>
      </c>
      <c r="H9" s="74"/>
      <c r="I9" s="60" t="s">
        <v>408</v>
      </c>
      <c r="J9" s="81">
        <v>1738715</v>
      </c>
      <c r="K9" s="81">
        <v>188568</v>
      </c>
      <c r="L9" s="82">
        <f>SUM(J9:K9)*(1+$E$2)</f>
        <v>1956192.2449999999</v>
      </c>
    </row>
    <row r="10" spans="1:12" x14ac:dyDescent="0.25">
      <c r="A10" s="74"/>
      <c r="B10" s="60" t="s">
        <v>351</v>
      </c>
      <c r="C10" s="81">
        <v>0</v>
      </c>
      <c r="D10" s="81">
        <v>0</v>
      </c>
      <c r="E10" s="82">
        <f>SUM(C10:D10)*(1+$E$2)</f>
        <v>0</v>
      </c>
      <c r="H10" s="74"/>
      <c r="I10" s="60" t="s">
        <v>351</v>
      </c>
      <c r="J10" s="81">
        <v>0</v>
      </c>
      <c r="K10" s="81">
        <v>0</v>
      </c>
      <c r="L10" s="82">
        <f>SUM(J10:K10)*(1+$E$2)</f>
        <v>0</v>
      </c>
    </row>
    <row r="11" spans="1:12" x14ac:dyDescent="0.25">
      <c r="A11" s="74"/>
      <c r="B11" s="60" t="s">
        <v>352</v>
      </c>
      <c r="C11" s="83">
        <v>22954816</v>
      </c>
      <c r="D11" s="83">
        <v>2251487</v>
      </c>
      <c r="E11" s="84">
        <f>SUM(C11:D11)*(1+$E$2)</f>
        <v>25584397.544999998</v>
      </c>
      <c r="H11" s="74"/>
      <c r="I11" s="60" t="s">
        <v>352</v>
      </c>
      <c r="J11" s="83">
        <v>22333036</v>
      </c>
      <c r="K11" s="83">
        <v>2218069</v>
      </c>
      <c r="L11" s="84">
        <f>SUM(J11:K11)*(1+$E$2)</f>
        <v>24919371.574999999</v>
      </c>
    </row>
    <row r="12" spans="1:12" x14ac:dyDescent="0.25">
      <c r="A12" s="74"/>
      <c r="B12" s="60" t="s">
        <v>353</v>
      </c>
      <c r="C12" s="82">
        <f>SUM(C8:C11)</f>
        <v>28439176</v>
      </c>
      <c r="D12" s="82">
        <f t="shared" ref="D12:E12" si="0">SUM(D8:D11)</f>
        <v>2712939</v>
      </c>
      <c r="E12" s="82">
        <f t="shared" si="0"/>
        <v>31619396.724999998</v>
      </c>
      <c r="H12" s="74"/>
      <c r="I12" s="60" t="s">
        <v>353</v>
      </c>
      <c r="J12" s="82">
        <f>SUM(J8:J11)</f>
        <v>27701840</v>
      </c>
      <c r="K12" s="82">
        <f t="shared" ref="K12:L12" si="1">SUM(K8:K11)</f>
        <v>2668653</v>
      </c>
      <c r="L12" s="82">
        <f t="shared" si="1"/>
        <v>30826050.395</v>
      </c>
    </row>
    <row r="13" spans="1:12" x14ac:dyDescent="0.25">
      <c r="A13" s="74"/>
      <c r="B13" s="60"/>
      <c r="C13" s="82"/>
      <c r="D13" s="82"/>
      <c r="E13" s="78"/>
      <c r="H13" s="74"/>
      <c r="I13" s="60"/>
      <c r="J13" s="82"/>
      <c r="K13" s="82"/>
      <c r="L13" s="78"/>
    </row>
    <row r="14" spans="1:12" x14ac:dyDescent="0.25">
      <c r="A14" s="74" t="s">
        <v>409</v>
      </c>
      <c r="B14" s="60" t="s">
        <v>410</v>
      </c>
      <c r="C14" s="81">
        <v>269620</v>
      </c>
      <c r="D14" s="81">
        <v>40879</v>
      </c>
      <c r="E14" s="82">
        <f>SUM(C14:D14)*(1+$E$2)</f>
        <v>315156.48499999999</v>
      </c>
      <c r="H14" s="74" t="s">
        <v>409</v>
      </c>
      <c r="I14" s="60" t="s">
        <v>410</v>
      </c>
      <c r="J14" s="81">
        <v>262657</v>
      </c>
      <c r="K14" s="81">
        <v>39668</v>
      </c>
      <c r="L14" s="82">
        <f>SUM(J14:K14)*(1+$E$2)</f>
        <v>306859.87499999994</v>
      </c>
    </row>
    <row r="15" spans="1:12" x14ac:dyDescent="0.25">
      <c r="A15" s="74"/>
      <c r="B15" s="60" t="s">
        <v>411</v>
      </c>
      <c r="C15" s="85">
        <f>C14*C6</f>
        <v>10784.800000000001</v>
      </c>
      <c r="D15" s="85">
        <f t="shared" ref="D15" si="2">D14*D6</f>
        <v>1635.16</v>
      </c>
      <c r="E15" s="84">
        <f>SUM(C15:D15)*(1+$E$2)</f>
        <v>12606.259399999999</v>
      </c>
      <c r="H15" s="74"/>
      <c r="I15" s="60" t="s">
        <v>411</v>
      </c>
      <c r="J15" s="85">
        <f>J14*J6</f>
        <v>10768.937</v>
      </c>
      <c r="K15" s="85">
        <f t="shared" ref="K15" si="3">K14*K6</f>
        <v>1626.3880000000001</v>
      </c>
      <c r="L15" s="84">
        <f>SUM(J15:K15)*(1+$E$2)</f>
        <v>12581.254874999999</v>
      </c>
    </row>
    <row r="16" spans="1:12" x14ac:dyDescent="0.25">
      <c r="A16" s="74"/>
      <c r="B16" s="60" t="s">
        <v>412</v>
      </c>
      <c r="C16" s="86">
        <f>C14+C15</f>
        <v>280404.8</v>
      </c>
      <c r="D16" s="86">
        <f t="shared" ref="D16:E16" si="4">D14+D15</f>
        <v>42514.16</v>
      </c>
      <c r="E16" s="86">
        <f t="shared" si="4"/>
        <v>327762.74439999997</v>
      </c>
      <c r="H16" s="74"/>
      <c r="I16" s="60" t="s">
        <v>412</v>
      </c>
      <c r="J16" s="86">
        <f>J14+J15</f>
        <v>273425.93699999998</v>
      </c>
      <c r="K16" s="86">
        <f t="shared" ref="K16:L16" si="5">K14+K15</f>
        <v>41294.387999999999</v>
      </c>
      <c r="L16" s="86">
        <f t="shared" si="5"/>
        <v>319441.12987499993</v>
      </c>
    </row>
    <row r="17" spans="1:14" x14ac:dyDescent="0.25">
      <c r="A17" s="74"/>
      <c r="B17" s="60"/>
      <c r="C17" s="86"/>
      <c r="D17" s="86"/>
      <c r="E17" s="87"/>
      <c r="H17" s="74"/>
      <c r="I17" s="60"/>
      <c r="J17" s="86"/>
      <c r="K17" s="86"/>
      <c r="L17" s="87"/>
    </row>
    <row r="18" spans="1:14" x14ac:dyDescent="0.25">
      <c r="A18" s="74" t="s">
        <v>413</v>
      </c>
      <c r="B18" s="60" t="s">
        <v>414</v>
      </c>
      <c r="C18" s="81">
        <v>7294773</v>
      </c>
      <c r="D18" s="81">
        <v>832340</v>
      </c>
      <c r="E18" s="82">
        <f>SUM(C18:D18)*(1+$E$2)</f>
        <v>8249019.6949999994</v>
      </c>
      <c r="H18" s="74" t="s">
        <v>413</v>
      </c>
      <c r="I18" s="60" t="s">
        <v>414</v>
      </c>
      <c r="J18" s="81">
        <v>7124643</v>
      </c>
      <c r="K18" s="81">
        <v>809061</v>
      </c>
      <c r="L18" s="82">
        <f>SUM(J18:K18)*(1+$E$2)</f>
        <v>8052709.5599999996</v>
      </c>
    </row>
    <row r="19" spans="1:14" x14ac:dyDescent="0.25">
      <c r="A19" s="74"/>
      <c r="B19" s="60" t="s">
        <v>351</v>
      </c>
      <c r="C19" s="81">
        <v>0</v>
      </c>
      <c r="D19" s="81">
        <v>0</v>
      </c>
      <c r="E19" s="82">
        <f>SUM(C19:D19)*(1+$E$2)</f>
        <v>0</v>
      </c>
      <c r="H19" s="74"/>
      <c r="I19" s="60" t="s">
        <v>351</v>
      </c>
      <c r="J19" s="81">
        <v>0</v>
      </c>
      <c r="K19" s="81">
        <v>0</v>
      </c>
      <c r="L19" s="82">
        <f>SUM(J19:K19)*(1+$E$2)</f>
        <v>0</v>
      </c>
    </row>
    <row r="20" spans="1:14" x14ac:dyDescent="0.25">
      <c r="A20" s="74"/>
      <c r="B20" s="60" t="s">
        <v>352</v>
      </c>
      <c r="C20" s="83">
        <v>22954816</v>
      </c>
      <c r="D20" s="83">
        <v>2251487</v>
      </c>
      <c r="E20" s="84">
        <f>SUM(C20:D20)*(1+$E$2)</f>
        <v>25584397.544999998</v>
      </c>
      <c r="H20" s="74"/>
      <c r="I20" s="60" t="s">
        <v>352</v>
      </c>
      <c r="J20" s="83">
        <v>22333036</v>
      </c>
      <c r="K20" s="83">
        <v>2218069</v>
      </c>
      <c r="L20" s="84">
        <f>SUM(J20:K20)*(1+$E$2)</f>
        <v>24919371.574999999</v>
      </c>
    </row>
    <row r="21" spans="1:14" x14ac:dyDescent="0.25">
      <c r="A21" s="74"/>
      <c r="B21" s="60" t="s">
        <v>353</v>
      </c>
      <c r="C21" s="82">
        <f>SUM(C18:C20)</f>
        <v>30249589</v>
      </c>
      <c r="D21" s="82">
        <f t="shared" ref="D21:E21" si="6">SUM(D18:D20)</f>
        <v>3083827</v>
      </c>
      <c r="E21" s="82">
        <f t="shared" si="6"/>
        <v>33833417.239999995</v>
      </c>
      <c r="H21" s="74"/>
      <c r="I21" s="60" t="s">
        <v>353</v>
      </c>
      <c r="J21" s="82">
        <f>SUM(J18:J20)</f>
        <v>29457679</v>
      </c>
      <c r="K21" s="82">
        <f t="shared" ref="K21:L21" si="7">SUM(K18:K20)</f>
        <v>3027130</v>
      </c>
      <c r="L21" s="82">
        <f t="shared" si="7"/>
        <v>32972081.134999998</v>
      </c>
    </row>
    <row r="22" spans="1:14" x14ac:dyDescent="0.25">
      <c r="A22" s="74"/>
      <c r="B22" s="60"/>
      <c r="C22" s="82"/>
      <c r="D22" s="82"/>
      <c r="E22" s="78"/>
      <c r="H22" s="74"/>
      <c r="I22" s="60"/>
      <c r="J22" s="82"/>
      <c r="K22" s="82"/>
      <c r="L22" s="78"/>
    </row>
    <row r="23" spans="1:14" x14ac:dyDescent="0.25">
      <c r="A23" s="74" t="s">
        <v>415</v>
      </c>
      <c r="B23" s="60" t="s">
        <v>414</v>
      </c>
      <c r="C23" s="81">
        <v>34</v>
      </c>
      <c r="D23" s="81">
        <v>34</v>
      </c>
      <c r="E23" s="82">
        <f>MAX(C23:D23)</f>
        <v>34</v>
      </c>
      <c r="H23" s="74" t="s">
        <v>415</v>
      </c>
      <c r="I23" s="60" t="s">
        <v>414</v>
      </c>
      <c r="J23" s="81">
        <v>34</v>
      </c>
      <c r="K23" s="81">
        <v>34</v>
      </c>
      <c r="L23" s="82">
        <f>MAX(J23:K23)</f>
        <v>34</v>
      </c>
      <c r="N23" t="s">
        <v>584</v>
      </c>
    </row>
    <row r="24" spans="1:14" x14ac:dyDescent="0.25">
      <c r="A24" s="74"/>
      <c r="B24" s="60" t="s">
        <v>351</v>
      </c>
      <c r="C24" s="81">
        <v>0</v>
      </c>
      <c r="D24" s="81">
        <v>0</v>
      </c>
      <c r="E24" s="82">
        <f>MAX(C24:D24)</f>
        <v>0</v>
      </c>
      <c r="H24" s="74"/>
      <c r="I24" s="60" t="s">
        <v>351</v>
      </c>
      <c r="J24" s="81">
        <v>0</v>
      </c>
      <c r="K24" s="81">
        <v>0</v>
      </c>
      <c r="L24" s="82">
        <f>MAX(J24:K24)</f>
        <v>0</v>
      </c>
      <c r="N24" t="s">
        <v>585</v>
      </c>
    </row>
    <row r="25" spans="1:14" x14ac:dyDescent="0.25">
      <c r="A25" s="74"/>
      <c r="B25" s="60" t="s">
        <v>352</v>
      </c>
      <c r="C25" s="83">
        <v>162</v>
      </c>
      <c r="D25" s="83">
        <v>143</v>
      </c>
      <c r="E25" s="84">
        <f>MAX(C25:D25)</f>
        <v>162</v>
      </c>
      <c r="H25" s="74"/>
      <c r="I25" s="60" t="s">
        <v>352</v>
      </c>
      <c r="J25" s="83">
        <v>153</v>
      </c>
      <c r="K25" s="83">
        <v>143</v>
      </c>
      <c r="L25" s="84">
        <f>MAX(J25:K25)</f>
        <v>153</v>
      </c>
      <c r="N25" t="s">
        <v>608</v>
      </c>
    </row>
    <row r="26" spans="1:14" x14ac:dyDescent="0.25">
      <c r="A26" s="74"/>
      <c r="B26" s="60" t="s">
        <v>353</v>
      </c>
      <c r="C26" s="82">
        <f>SUM(C23:C25)</f>
        <v>196</v>
      </c>
      <c r="D26" s="82">
        <f t="shared" ref="D26:E26" si="8">SUM(D23:D25)</f>
        <v>177</v>
      </c>
      <c r="E26" s="82">
        <f t="shared" si="8"/>
        <v>196</v>
      </c>
      <c r="H26" s="74"/>
      <c r="I26" s="60" t="s">
        <v>353</v>
      </c>
      <c r="J26" s="82">
        <f>SUM(J23:J25)</f>
        <v>187</v>
      </c>
      <c r="K26" s="82">
        <f t="shared" ref="K26:L26" si="9">SUM(K23:K25)</f>
        <v>177</v>
      </c>
      <c r="L26" s="82">
        <f t="shared" si="9"/>
        <v>187</v>
      </c>
    </row>
    <row r="27" spans="1:14" x14ac:dyDescent="0.25">
      <c r="A27" s="74"/>
      <c r="B27" s="60"/>
      <c r="C27" s="82"/>
      <c r="D27" s="82"/>
      <c r="E27" s="78"/>
      <c r="H27" s="74"/>
      <c r="I27" s="60"/>
      <c r="J27" s="82"/>
      <c r="K27" s="82"/>
      <c r="L27" s="78"/>
    </row>
    <row r="28" spans="1:14" x14ac:dyDescent="0.25">
      <c r="A28" s="74"/>
      <c r="B28" s="60" t="s">
        <v>416</v>
      </c>
      <c r="C28" s="81">
        <v>93.4</v>
      </c>
      <c r="D28" s="81">
        <v>66</v>
      </c>
      <c r="E28" s="82">
        <f>C28</f>
        <v>93.4</v>
      </c>
      <c r="H28" s="74"/>
      <c r="I28" s="60" t="s">
        <v>416</v>
      </c>
      <c r="J28" s="81">
        <v>91.050000000000011</v>
      </c>
      <c r="K28" s="81">
        <v>66</v>
      </c>
      <c r="L28" s="82">
        <f>J28</f>
        <v>91.050000000000011</v>
      </c>
    </row>
    <row r="29" spans="1:14" x14ac:dyDescent="0.25">
      <c r="C29" s="82"/>
      <c r="D29" s="78"/>
      <c r="J29" s="82"/>
      <c r="K29" s="78"/>
    </row>
    <row r="30" spans="1:14" x14ac:dyDescent="0.25">
      <c r="A30" s="74" t="s">
        <v>355</v>
      </c>
      <c r="B30">
        <f>VALUE(RIGHT(E5,4))</f>
        <v>2017</v>
      </c>
      <c r="C30" s="81">
        <v>1299790</v>
      </c>
      <c r="D30" s="81">
        <v>66414</v>
      </c>
      <c r="E30" s="82">
        <f t="shared" ref="E30:E39" si="10">SUM(C30:D30)*(1+$E$2)</f>
        <v>1386697.0599999998</v>
      </c>
      <c r="H30" s="74" t="s">
        <v>355</v>
      </c>
      <c r="I30">
        <f>VALUE(RIGHT(L5,4))</f>
        <v>2017</v>
      </c>
      <c r="J30" s="81">
        <v>1279324</v>
      </c>
      <c r="K30" s="81">
        <v>66382</v>
      </c>
      <c r="L30" s="82">
        <f t="shared" ref="L30:L39" si="11">SUM(J30:K30)*(1+$E$2)</f>
        <v>1365891.5899999999</v>
      </c>
    </row>
    <row r="31" spans="1:14" x14ac:dyDescent="0.25">
      <c r="B31">
        <f>B30+1</f>
        <v>2018</v>
      </c>
      <c r="C31" s="81">
        <v>1346488</v>
      </c>
      <c r="D31" s="81">
        <v>77516</v>
      </c>
      <c r="E31" s="82">
        <f t="shared" si="10"/>
        <v>1445364.0599999998</v>
      </c>
      <c r="I31">
        <f>I30+1</f>
        <v>2018</v>
      </c>
      <c r="J31" s="81">
        <v>1325432</v>
      </c>
      <c r="K31" s="81">
        <v>77479</v>
      </c>
      <c r="L31" s="82">
        <f t="shared" si="11"/>
        <v>1423954.6649999998</v>
      </c>
    </row>
    <row r="32" spans="1:14" x14ac:dyDescent="0.25">
      <c r="B32">
        <f t="shared" ref="B32:B39" si="12">B31+1</f>
        <v>2019</v>
      </c>
      <c r="C32" s="81">
        <v>1390283</v>
      </c>
      <c r="D32" s="81">
        <v>89819</v>
      </c>
      <c r="E32" s="82">
        <f t="shared" si="10"/>
        <v>1502303.5299999998</v>
      </c>
      <c r="I32">
        <f t="shared" ref="I32:I39" si="13">I31+1</f>
        <v>2019</v>
      </c>
      <c r="J32" s="81">
        <v>1369275</v>
      </c>
      <c r="K32" s="81">
        <v>89776</v>
      </c>
      <c r="L32" s="82">
        <f t="shared" si="11"/>
        <v>1480936.7649999999</v>
      </c>
    </row>
    <row r="33" spans="1:12" x14ac:dyDescent="0.25">
      <c r="B33">
        <f t="shared" si="12"/>
        <v>2020</v>
      </c>
      <c r="C33" s="81">
        <v>1428839</v>
      </c>
      <c r="D33" s="81">
        <v>97718</v>
      </c>
      <c r="E33" s="82">
        <f t="shared" si="10"/>
        <v>1549455.3549999997</v>
      </c>
      <c r="I33">
        <f t="shared" si="13"/>
        <v>2020</v>
      </c>
      <c r="J33" s="81">
        <v>1407405</v>
      </c>
      <c r="K33" s="81">
        <v>97671</v>
      </c>
      <c r="L33" s="82">
        <f t="shared" si="11"/>
        <v>1527652.14</v>
      </c>
    </row>
    <row r="34" spans="1:12" x14ac:dyDescent="0.25">
      <c r="B34">
        <f t="shared" si="12"/>
        <v>2021</v>
      </c>
      <c r="C34" s="81">
        <v>1473322</v>
      </c>
      <c r="D34" s="81">
        <v>113090</v>
      </c>
      <c r="E34" s="82">
        <f t="shared" si="10"/>
        <v>1610208.18</v>
      </c>
      <c r="I34">
        <f t="shared" si="13"/>
        <v>2021</v>
      </c>
      <c r="J34" s="81">
        <v>1451497</v>
      </c>
      <c r="K34" s="81">
        <v>113036</v>
      </c>
      <c r="L34" s="82">
        <f t="shared" si="11"/>
        <v>1588000.9949999999</v>
      </c>
    </row>
    <row r="35" spans="1:12" x14ac:dyDescent="0.25">
      <c r="B35">
        <f t="shared" si="12"/>
        <v>2022</v>
      </c>
      <c r="C35" s="81">
        <v>1499879</v>
      </c>
      <c r="D35" s="81">
        <v>115381</v>
      </c>
      <c r="E35" s="82">
        <f t="shared" si="10"/>
        <v>1639488.9</v>
      </c>
      <c r="I35">
        <f t="shared" si="13"/>
        <v>2022</v>
      </c>
      <c r="J35" s="81">
        <v>1477716</v>
      </c>
      <c r="K35" s="81">
        <v>115325</v>
      </c>
      <c r="L35" s="82">
        <f t="shared" si="11"/>
        <v>1616936.6149999998</v>
      </c>
    </row>
    <row r="36" spans="1:12" x14ac:dyDescent="0.25">
      <c r="B36">
        <f t="shared" si="12"/>
        <v>2023</v>
      </c>
      <c r="C36" s="81">
        <v>1537281</v>
      </c>
      <c r="D36" s="81">
        <v>124489</v>
      </c>
      <c r="E36" s="82">
        <f t="shared" si="10"/>
        <v>1686696.5499999998</v>
      </c>
      <c r="I36">
        <f t="shared" si="13"/>
        <v>2023</v>
      </c>
      <c r="J36" s="81">
        <v>1514825</v>
      </c>
      <c r="K36" s="81">
        <v>124429</v>
      </c>
      <c r="L36" s="82">
        <f t="shared" si="11"/>
        <v>1663842.8099999998</v>
      </c>
    </row>
    <row r="37" spans="1:12" x14ac:dyDescent="0.25">
      <c r="B37">
        <f t="shared" si="12"/>
        <v>2024</v>
      </c>
      <c r="C37" s="81">
        <v>1568060</v>
      </c>
      <c r="D37" s="81">
        <v>132006</v>
      </c>
      <c r="E37" s="82">
        <f t="shared" si="10"/>
        <v>1725566.9899999998</v>
      </c>
      <c r="I37">
        <f t="shared" si="13"/>
        <v>2024</v>
      </c>
      <c r="J37" s="81">
        <v>1545371</v>
      </c>
      <c r="K37" s="81">
        <v>131942</v>
      </c>
      <c r="L37" s="82">
        <f t="shared" si="11"/>
        <v>1702472.6949999998</v>
      </c>
    </row>
    <row r="38" spans="1:12" x14ac:dyDescent="0.25">
      <c r="B38">
        <f t="shared" si="12"/>
        <v>2025</v>
      </c>
      <c r="C38" s="81">
        <v>1563266</v>
      </c>
      <c r="D38" s="81">
        <v>119835</v>
      </c>
      <c r="E38" s="82">
        <f t="shared" si="10"/>
        <v>1708347.5149999999</v>
      </c>
      <c r="I38">
        <f t="shared" si="13"/>
        <v>2025</v>
      </c>
      <c r="J38" s="81">
        <v>1540424</v>
      </c>
      <c r="K38" s="81">
        <v>119777</v>
      </c>
      <c r="L38" s="82">
        <f t="shared" si="11"/>
        <v>1685104.0149999999</v>
      </c>
    </row>
    <row r="39" spans="1:12" x14ac:dyDescent="0.25">
      <c r="B39">
        <f t="shared" si="12"/>
        <v>2026</v>
      </c>
      <c r="C39" s="81">
        <v>1582860</v>
      </c>
      <c r="D39" s="81">
        <v>140453</v>
      </c>
      <c r="E39" s="82">
        <f t="shared" si="10"/>
        <v>1749162.6949999998</v>
      </c>
      <c r="I39">
        <f t="shared" si="13"/>
        <v>2026</v>
      </c>
      <c r="J39" s="81">
        <v>1559922</v>
      </c>
      <c r="K39" s="81">
        <v>140385</v>
      </c>
      <c r="L39" s="82">
        <f t="shared" si="11"/>
        <v>1725811.6049999997</v>
      </c>
    </row>
    <row r="41" spans="1:12" x14ac:dyDescent="0.25">
      <c r="A41" s="74" t="s">
        <v>417</v>
      </c>
      <c r="C41" s="77">
        <v>7.8784999999999998</v>
      </c>
      <c r="H41" s="74" t="s">
        <v>417</v>
      </c>
      <c r="J41" s="77">
        <v>7.8784999999999998</v>
      </c>
    </row>
    <row r="46" spans="1:12" x14ac:dyDescent="0.25">
      <c r="B46" s="74" t="s">
        <v>418</v>
      </c>
      <c r="D46" t="s">
        <v>404</v>
      </c>
      <c r="E46" s="75">
        <f>E2</f>
        <v>1.4999999999999999E-2</v>
      </c>
    </row>
    <row r="48" spans="1:12" x14ac:dyDescent="0.25">
      <c r="C48" s="76" t="s">
        <v>433</v>
      </c>
      <c r="D48" s="76" t="s">
        <v>402</v>
      </c>
      <c r="E48" s="74" t="s">
        <v>353</v>
      </c>
    </row>
    <row r="49" spans="1:5" x14ac:dyDescent="0.25">
      <c r="A49" s="74"/>
      <c r="B49" s="74" t="s">
        <v>405</v>
      </c>
      <c r="C49" s="77" t="s">
        <v>607</v>
      </c>
      <c r="D49" s="77" t="s">
        <v>607</v>
      </c>
      <c r="E49" s="78" t="str">
        <f>C49</f>
        <v xml:space="preserve">  1- 1-2017</v>
      </c>
    </row>
    <row r="50" spans="1:5" x14ac:dyDescent="0.25">
      <c r="A50" s="74"/>
      <c r="B50" s="74" t="s">
        <v>406</v>
      </c>
      <c r="C50" s="79">
        <v>0.04</v>
      </c>
      <c r="D50" s="79">
        <v>0.04</v>
      </c>
      <c r="E50" s="80">
        <f>C50</f>
        <v>0.04</v>
      </c>
    </row>
    <row r="51" spans="1:5" x14ac:dyDescent="0.25">
      <c r="A51" s="74"/>
      <c r="B51" s="74"/>
      <c r="C51" s="77"/>
      <c r="D51" s="77"/>
      <c r="E51" s="78"/>
    </row>
    <row r="52" spans="1:5" x14ac:dyDescent="0.25">
      <c r="A52" s="74" t="s">
        <v>345</v>
      </c>
      <c r="B52" s="60" t="s">
        <v>407</v>
      </c>
      <c r="C52" s="81">
        <v>4440058</v>
      </c>
      <c r="D52" s="81">
        <v>326174</v>
      </c>
      <c r="E52" s="82">
        <f>SUM(C52:D52)*(1+$E$2)</f>
        <v>4837725.4799999995</v>
      </c>
    </row>
    <row r="53" spans="1:5" x14ac:dyDescent="0.25">
      <c r="A53" s="74"/>
      <c r="B53" s="60" t="s">
        <v>408</v>
      </c>
      <c r="C53" s="81">
        <v>2350380</v>
      </c>
      <c r="D53" s="81">
        <v>261250</v>
      </c>
      <c r="E53" s="82">
        <f>SUM(C53:D53)*(1+$E$2)</f>
        <v>2650804.4499999997</v>
      </c>
    </row>
    <row r="54" spans="1:5" x14ac:dyDescent="0.25">
      <c r="A54" s="74"/>
      <c r="B54" s="60" t="s">
        <v>351</v>
      </c>
      <c r="C54" s="81">
        <v>0</v>
      </c>
      <c r="D54" s="81">
        <v>0</v>
      </c>
      <c r="E54" s="82">
        <f>SUM(C54:D54)*(1+$E$2)</f>
        <v>0</v>
      </c>
    </row>
    <row r="55" spans="1:5" x14ac:dyDescent="0.25">
      <c r="A55" s="74"/>
      <c r="B55" s="60" t="s">
        <v>352</v>
      </c>
      <c r="C55" s="83">
        <v>25769642</v>
      </c>
      <c r="D55" s="83">
        <v>2609478</v>
      </c>
      <c r="E55" s="84">
        <f>SUM(C55:D55)*(1+$E$2)</f>
        <v>28804806.799999997</v>
      </c>
    </row>
    <row r="56" spans="1:5" x14ac:dyDescent="0.25">
      <c r="A56" s="74"/>
      <c r="B56" s="60" t="s">
        <v>353</v>
      </c>
      <c r="C56" s="82">
        <f>SUM(C52:C55)</f>
        <v>32560080</v>
      </c>
      <c r="D56" s="82">
        <f t="shared" ref="D56:E56" si="14">SUM(D52:D55)</f>
        <v>3196902</v>
      </c>
      <c r="E56" s="82">
        <f t="shared" si="14"/>
        <v>36293336.729999997</v>
      </c>
    </row>
    <row r="57" spans="1:5" x14ac:dyDescent="0.25">
      <c r="A57" s="74"/>
      <c r="B57" s="60"/>
      <c r="C57" s="82"/>
      <c r="D57" s="82"/>
      <c r="E57" s="78"/>
    </row>
    <row r="58" spans="1:5" x14ac:dyDescent="0.25">
      <c r="A58" s="74" t="s">
        <v>409</v>
      </c>
      <c r="B58" s="60" t="s">
        <v>410</v>
      </c>
      <c r="C58" s="81">
        <v>350601</v>
      </c>
      <c r="D58" s="81">
        <v>55332</v>
      </c>
      <c r="E58" s="82">
        <f>SUM(C58:D58)*(1+$E$2)</f>
        <v>412021.99499999994</v>
      </c>
    </row>
    <row r="59" spans="1:5" x14ac:dyDescent="0.25">
      <c r="A59" s="74"/>
      <c r="B59" s="60" t="s">
        <v>411</v>
      </c>
      <c r="C59" s="85">
        <f>C58*C50</f>
        <v>14024.04</v>
      </c>
      <c r="D59" s="85">
        <f t="shared" ref="D59" si="15">D58*D50</f>
        <v>2213.2800000000002</v>
      </c>
      <c r="E59" s="84">
        <f>SUM(C59:D59)*(1+$E$2)</f>
        <v>16480.879799999999</v>
      </c>
    </row>
    <row r="60" spans="1:5" x14ac:dyDescent="0.25">
      <c r="A60" s="74"/>
      <c r="B60" s="60" t="s">
        <v>412</v>
      </c>
      <c r="C60" s="86">
        <f>C58+C59</f>
        <v>364625.04</v>
      </c>
      <c r="D60" s="86">
        <f t="shared" ref="D60:E60" si="16">D58+D59</f>
        <v>57545.279999999999</v>
      </c>
      <c r="E60" s="86">
        <f t="shared" si="16"/>
        <v>428502.87479999993</v>
      </c>
    </row>
    <row r="61" spans="1:5" x14ac:dyDescent="0.25">
      <c r="A61" s="74"/>
      <c r="B61" s="60"/>
      <c r="C61" s="82"/>
      <c r="D61" s="82"/>
      <c r="E61" s="78"/>
    </row>
    <row r="62" spans="1:5" x14ac:dyDescent="0.25">
      <c r="A62" s="74" t="s">
        <v>413</v>
      </c>
      <c r="B62" s="60" t="s">
        <v>414</v>
      </c>
      <c r="C62" s="81">
        <v>9251642</v>
      </c>
      <c r="D62" s="81">
        <v>1109488</v>
      </c>
      <c r="E62" s="82">
        <f>SUM(C62:D62)*(1+$E$2)</f>
        <v>10516546.949999999</v>
      </c>
    </row>
    <row r="63" spans="1:5" x14ac:dyDescent="0.25">
      <c r="A63" s="74"/>
      <c r="B63" s="60" t="s">
        <v>351</v>
      </c>
      <c r="C63" s="81">
        <v>0</v>
      </c>
      <c r="D63" s="81">
        <v>0</v>
      </c>
      <c r="E63" s="82">
        <f>SUM(C63:D63)*(1+$E$2)</f>
        <v>0</v>
      </c>
    </row>
    <row r="64" spans="1:5" x14ac:dyDescent="0.25">
      <c r="A64" s="74"/>
      <c r="B64" s="60" t="s">
        <v>352</v>
      </c>
      <c r="C64" s="83">
        <v>25769642</v>
      </c>
      <c r="D64" s="83">
        <v>2609478</v>
      </c>
      <c r="E64" s="84">
        <f>SUM(C64:D64)*(1+$E$2)</f>
        <v>28804806.799999997</v>
      </c>
    </row>
    <row r="65" spans="1:5" x14ac:dyDescent="0.25">
      <c r="A65" s="74"/>
      <c r="B65" s="60" t="s">
        <v>353</v>
      </c>
      <c r="C65" s="82">
        <f>SUM(C62:C64)</f>
        <v>35021284</v>
      </c>
      <c r="D65" s="82">
        <f t="shared" ref="D65:E65" si="17">SUM(D62:D64)</f>
        <v>3718966</v>
      </c>
      <c r="E65" s="82">
        <f t="shared" si="17"/>
        <v>39321353.75</v>
      </c>
    </row>
    <row r="66" spans="1:5" x14ac:dyDescent="0.25">
      <c r="A66" s="74"/>
      <c r="B66" s="60"/>
      <c r="C66" s="82"/>
      <c r="D66" s="82"/>
      <c r="E66" s="78"/>
    </row>
    <row r="67" spans="1:5" x14ac:dyDescent="0.25">
      <c r="A67" s="74" t="s">
        <v>415</v>
      </c>
      <c r="B67" s="60" t="s">
        <v>414</v>
      </c>
      <c r="C67" s="81">
        <v>34</v>
      </c>
      <c r="D67" s="81">
        <v>34</v>
      </c>
      <c r="E67" s="82">
        <f>MAX(C67:D67)</f>
        <v>34</v>
      </c>
    </row>
    <row r="68" spans="1:5" x14ac:dyDescent="0.25">
      <c r="A68" s="74"/>
      <c r="B68" s="60" t="s">
        <v>351</v>
      </c>
      <c r="C68" s="81">
        <v>0</v>
      </c>
      <c r="D68" s="81">
        <v>0</v>
      </c>
      <c r="E68" s="82">
        <f>MAX(C68:D68)</f>
        <v>0</v>
      </c>
    </row>
    <row r="69" spans="1:5" x14ac:dyDescent="0.25">
      <c r="A69" s="74"/>
      <c r="B69" s="60" t="s">
        <v>352</v>
      </c>
      <c r="C69" s="83">
        <v>162</v>
      </c>
      <c r="D69" s="83">
        <v>143</v>
      </c>
      <c r="E69" s="84">
        <f>MAX(C69:D69)</f>
        <v>162</v>
      </c>
    </row>
    <row r="70" spans="1:5" x14ac:dyDescent="0.25">
      <c r="A70" s="74"/>
      <c r="B70" s="60" t="s">
        <v>353</v>
      </c>
      <c r="C70" s="82">
        <f>SUM(C67:C69)</f>
        <v>196</v>
      </c>
      <c r="D70" s="82">
        <f t="shared" ref="D70:E70" si="18">SUM(D67:D69)</f>
        <v>177</v>
      </c>
      <c r="E70" s="82">
        <f t="shared" si="18"/>
        <v>196</v>
      </c>
    </row>
    <row r="71" spans="1:5" x14ac:dyDescent="0.25">
      <c r="A71" s="74"/>
      <c r="B71" s="60"/>
      <c r="C71" s="82"/>
      <c r="D71" s="82"/>
      <c r="E71" s="78"/>
    </row>
    <row r="72" spans="1:5" x14ac:dyDescent="0.25">
      <c r="A72" s="74"/>
      <c r="B72" s="60" t="s">
        <v>416</v>
      </c>
      <c r="C72" s="81">
        <v>93.4</v>
      </c>
      <c r="D72" s="81">
        <v>66</v>
      </c>
      <c r="E72" s="82">
        <f>C72</f>
        <v>93.4</v>
      </c>
    </row>
    <row r="73" spans="1:5" x14ac:dyDescent="0.25">
      <c r="C73" s="82"/>
      <c r="D73" s="78"/>
    </row>
    <row r="74" spans="1:5" x14ac:dyDescent="0.25">
      <c r="A74" s="74" t="s">
        <v>355</v>
      </c>
      <c r="B74">
        <f>VALUE(RIGHT(E49,4))</f>
        <v>2017</v>
      </c>
      <c r="C74" s="81">
        <v>1299790</v>
      </c>
      <c r="D74" s="81">
        <v>66414</v>
      </c>
      <c r="E74" s="82">
        <f t="shared" ref="E74:E83" si="19">SUM(C74:D74)*(1+$E$2)</f>
        <v>1386697.0599999998</v>
      </c>
    </row>
    <row r="75" spans="1:5" x14ac:dyDescent="0.25">
      <c r="B75">
        <f>B74+1</f>
        <v>2018</v>
      </c>
      <c r="C75" s="81">
        <v>1359208</v>
      </c>
      <c r="D75" s="81">
        <v>78236</v>
      </c>
      <c r="E75" s="82">
        <f t="shared" si="19"/>
        <v>1459005.66</v>
      </c>
    </row>
    <row r="76" spans="1:5" x14ac:dyDescent="0.25">
      <c r="B76">
        <f t="shared" ref="B76:B83" si="20">B75+1</f>
        <v>2019</v>
      </c>
      <c r="C76" s="81">
        <v>1416705</v>
      </c>
      <c r="D76" s="81">
        <v>91499</v>
      </c>
      <c r="E76" s="82">
        <f t="shared" si="19"/>
        <v>1530827.0599999998</v>
      </c>
    </row>
    <row r="77" spans="1:5" x14ac:dyDescent="0.25">
      <c r="B77">
        <f t="shared" si="20"/>
        <v>2020</v>
      </c>
      <c r="C77" s="81">
        <v>1469822</v>
      </c>
      <c r="D77" s="81">
        <v>100479</v>
      </c>
      <c r="E77" s="82">
        <f t="shared" si="19"/>
        <v>1593855.5149999999</v>
      </c>
    </row>
    <row r="78" spans="1:5" x14ac:dyDescent="0.25">
      <c r="B78">
        <f t="shared" si="20"/>
        <v>2021</v>
      </c>
      <c r="C78" s="81">
        <v>1529980</v>
      </c>
      <c r="D78" s="81">
        <v>117380</v>
      </c>
      <c r="E78" s="82">
        <f t="shared" si="19"/>
        <v>1672070.4</v>
      </c>
    </row>
    <row r="79" spans="1:5" x14ac:dyDescent="0.25">
      <c r="B79">
        <f t="shared" si="20"/>
        <v>2022</v>
      </c>
      <c r="C79" s="81">
        <v>1572399</v>
      </c>
      <c r="D79" s="81">
        <v>120890</v>
      </c>
      <c r="E79" s="82">
        <f t="shared" si="19"/>
        <v>1718688.3349999997</v>
      </c>
    </row>
    <row r="80" spans="1:5" x14ac:dyDescent="0.25">
      <c r="B80">
        <f t="shared" si="20"/>
        <v>2023</v>
      </c>
      <c r="C80" s="81">
        <v>1626962</v>
      </c>
      <c r="D80" s="81">
        <v>131670</v>
      </c>
      <c r="E80" s="82">
        <f t="shared" si="19"/>
        <v>1785011.4799999997</v>
      </c>
    </row>
    <row r="81" spans="1:5" x14ac:dyDescent="0.25">
      <c r="B81">
        <f t="shared" si="20"/>
        <v>2024</v>
      </c>
      <c r="C81" s="81">
        <v>1675337</v>
      </c>
      <c r="D81" s="81">
        <v>140948</v>
      </c>
      <c r="E81" s="82">
        <f t="shared" si="19"/>
        <v>1843529.2749999999</v>
      </c>
    </row>
    <row r="82" spans="1:5" x14ac:dyDescent="0.25">
      <c r="B82">
        <f t="shared" si="20"/>
        <v>2025</v>
      </c>
      <c r="C82" s="81">
        <v>1686227</v>
      </c>
      <c r="D82" s="81">
        <v>129179</v>
      </c>
      <c r="E82" s="82">
        <f t="shared" si="19"/>
        <v>1842637.0899999999</v>
      </c>
    </row>
    <row r="83" spans="1:5" x14ac:dyDescent="0.25">
      <c r="B83">
        <f t="shared" si="20"/>
        <v>2026</v>
      </c>
      <c r="C83" s="81">
        <v>1723626</v>
      </c>
      <c r="D83" s="81">
        <v>152843</v>
      </c>
      <c r="E83" s="82">
        <f t="shared" si="19"/>
        <v>1904616.0349999999</v>
      </c>
    </row>
    <row r="85" spans="1:5" x14ac:dyDescent="0.25">
      <c r="A85" s="74" t="s">
        <v>417</v>
      </c>
      <c r="C85" s="77">
        <v>7.8784999999999998</v>
      </c>
    </row>
    <row r="89" spans="1:5" x14ac:dyDescent="0.25">
      <c r="B89" s="74" t="s">
        <v>421</v>
      </c>
      <c r="D89" t="s">
        <v>404</v>
      </c>
      <c r="E89" s="75">
        <f>E2</f>
        <v>1.4999999999999999E-2</v>
      </c>
    </row>
    <row r="91" spans="1:5" x14ac:dyDescent="0.25">
      <c r="C91" s="76" t="s">
        <v>433</v>
      </c>
      <c r="D91" s="76" t="s">
        <v>402</v>
      </c>
      <c r="E91" s="74" t="s">
        <v>353</v>
      </c>
    </row>
    <row r="92" spans="1:5" x14ac:dyDescent="0.25">
      <c r="A92" s="74"/>
      <c r="B92" s="74" t="s">
        <v>405</v>
      </c>
      <c r="C92" s="77" t="s">
        <v>607</v>
      </c>
      <c r="D92" s="77" t="s">
        <v>607</v>
      </c>
      <c r="E92" s="78" t="str">
        <f>C92</f>
        <v xml:space="preserve">  1- 1-2017</v>
      </c>
    </row>
    <row r="93" spans="1:5" x14ac:dyDescent="0.25">
      <c r="A93" s="74"/>
      <c r="B93" s="74" t="s">
        <v>406</v>
      </c>
      <c r="C93" s="79">
        <v>0.04</v>
      </c>
      <c r="D93" s="79">
        <v>0.04</v>
      </c>
      <c r="E93" s="80">
        <f>C93</f>
        <v>0.04</v>
      </c>
    </row>
    <row r="94" spans="1:5" x14ac:dyDescent="0.25">
      <c r="A94" s="74"/>
      <c r="B94" s="74"/>
      <c r="C94" s="77"/>
      <c r="D94" s="77"/>
      <c r="E94" s="78"/>
    </row>
    <row r="95" spans="1:5" x14ac:dyDescent="0.25">
      <c r="A95" s="74" t="s">
        <v>345</v>
      </c>
      <c r="B95" s="60" t="s">
        <v>407</v>
      </c>
      <c r="C95" s="81">
        <v>3109821</v>
      </c>
      <c r="D95" s="81">
        <v>222525</v>
      </c>
      <c r="E95" s="82">
        <f>SUM(C95:D95)*(1+$E$2)</f>
        <v>3382331.1899999995</v>
      </c>
    </row>
    <row r="96" spans="1:5" x14ac:dyDescent="0.25">
      <c r="A96" s="74"/>
      <c r="B96" s="60" t="s">
        <v>408</v>
      </c>
      <c r="C96" s="81">
        <v>1378017</v>
      </c>
      <c r="D96" s="81">
        <v>147094</v>
      </c>
      <c r="E96" s="82">
        <f>SUM(C96:D96)*(1+$E$2)</f>
        <v>1547987.6649999998</v>
      </c>
    </row>
    <row r="97" spans="1:5" x14ac:dyDescent="0.25">
      <c r="A97" s="74"/>
      <c r="B97" s="60" t="s">
        <v>351</v>
      </c>
      <c r="C97" s="81">
        <v>0</v>
      </c>
      <c r="D97" s="81">
        <v>0</v>
      </c>
      <c r="E97" s="82">
        <f>SUM(C97:D97)*(1+$E$2)</f>
        <v>0</v>
      </c>
    </row>
    <row r="98" spans="1:5" x14ac:dyDescent="0.25">
      <c r="A98" s="74"/>
      <c r="B98" s="60" t="s">
        <v>352</v>
      </c>
      <c r="C98" s="83">
        <v>20586585</v>
      </c>
      <c r="D98" s="83">
        <v>1957804</v>
      </c>
      <c r="E98" s="84">
        <f>SUM(C98:D98)*(1+$E$2)</f>
        <v>22882554.834999997</v>
      </c>
    </row>
    <row r="99" spans="1:5" x14ac:dyDescent="0.25">
      <c r="A99" s="74"/>
      <c r="B99" s="60" t="s">
        <v>353</v>
      </c>
      <c r="C99" s="82">
        <f>SUM(C95:C98)</f>
        <v>25074423</v>
      </c>
      <c r="D99" s="82">
        <f t="shared" ref="D99:E99" si="21">SUM(D95:D98)</f>
        <v>2327423</v>
      </c>
      <c r="E99" s="82">
        <f t="shared" si="21"/>
        <v>27812873.689999998</v>
      </c>
    </row>
    <row r="100" spans="1:5" x14ac:dyDescent="0.25">
      <c r="A100" s="74"/>
      <c r="B100" s="60"/>
      <c r="C100" s="82"/>
      <c r="D100" s="82"/>
      <c r="E100" s="78"/>
    </row>
    <row r="101" spans="1:5" x14ac:dyDescent="0.25">
      <c r="A101" s="74" t="s">
        <v>409</v>
      </c>
      <c r="B101" s="60" t="s">
        <v>410</v>
      </c>
      <c r="C101" s="81">
        <v>210385</v>
      </c>
      <c r="D101" s="81">
        <v>30783</v>
      </c>
      <c r="E101" s="82">
        <f>SUM(C101:D101)*(1+$E$2)</f>
        <v>244785.52</v>
      </c>
    </row>
    <row r="102" spans="1:5" x14ac:dyDescent="0.25">
      <c r="A102" s="74"/>
      <c r="B102" s="60" t="s">
        <v>411</v>
      </c>
      <c r="C102" s="85">
        <f>C101*C93</f>
        <v>8415.4</v>
      </c>
      <c r="D102" s="85">
        <f t="shared" ref="D102" si="22">D101*D93</f>
        <v>1231.32</v>
      </c>
      <c r="E102" s="84">
        <f>SUM(C102:D102)*(1+$E$2)</f>
        <v>9791.4207999999981</v>
      </c>
    </row>
    <row r="103" spans="1:5" x14ac:dyDescent="0.25">
      <c r="A103" s="74"/>
      <c r="B103" s="60" t="s">
        <v>412</v>
      </c>
      <c r="C103" s="86">
        <f>C101+C102</f>
        <v>218800.4</v>
      </c>
      <c r="D103" s="86">
        <f t="shared" ref="D103:E103" si="23">D101+D102</f>
        <v>32014.32</v>
      </c>
      <c r="E103" s="86">
        <f t="shared" si="23"/>
        <v>254576.94079999998</v>
      </c>
    </row>
    <row r="104" spans="1:5" x14ac:dyDescent="0.25">
      <c r="A104" s="74"/>
      <c r="B104" s="60"/>
      <c r="C104" s="82"/>
      <c r="D104" s="82"/>
      <c r="E104" s="78"/>
    </row>
    <row r="105" spans="1:5" x14ac:dyDescent="0.25">
      <c r="A105" s="74" t="s">
        <v>413</v>
      </c>
      <c r="B105" s="60" t="s">
        <v>414</v>
      </c>
      <c r="C105" s="81">
        <v>5840134</v>
      </c>
      <c r="D105" s="81">
        <v>638045</v>
      </c>
      <c r="E105" s="82">
        <f>SUM(C105:D105)*(1+$E$2)</f>
        <v>6575351.6849999996</v>
      </c>
    </row>
    <row r="106" spans="1:5" x14ac:dyDescent="0.25">
      <c r="A106" s="74"/>
      <c r="B106" s="60" t="s">
        <v>351</v>
      </c>
      <c r="C106" s="81">
        <v>0</v>
      </c>
      <c r="D106" s="81">
        <v>0</v>
      </c>
      <c r="E106" s="82">
        <f>SUM(C106:D106)*(1+$E$2)</f>
        <v>0</v>
      </c>
    </row>
    <row r="107" spans="1:5" x14ac:dyDescent="0.25">
      <c r="A107" s="74"/>
      <c r="B107" s="60" t="s">
        <v>352</v>
      </c>
      <c r="C107" s="83">
        <v>20586585</v>
      </c>
      <c r="D107" s="83">
        <v>1957804</v>
      </c>
      <c r="E107" s="84">
        <f>SUM(C107:D107)*(1+$E$2)</f>
        <v>22882554.834999997</v>
      </c>
    </row>
    <row r="108" spans="1:5" x14ac:dyDescent="0.25">
      <c r="A108" s="74"/>
      <c r="B108" s="60" t="s">
        <v>353</v>
      </c>
      <c r="C108" s="82">
        <f>SUM(C105:C107)</f>
        <v>26426719</v>
      </c>
      <c r="D108" s="82">
        <f t="shared" ref="D108:E108" si="24">SUM(D105:D107)</f>
        <v>2595849</v>
      </c>
      <c r="E108" s="82">
        <f t="shared" si="24"/>
        <v>29457906.519999996</v>
      </c>
    </row>
    <row r="109" spans="1:5" x14ac:dyDescent="0.25">
      <c r="A109" s="74"/>
      <c r="B109" s="60"/>
      <c r="C109" s="82"/>
      <c r="D109" s="82"/>
      <c r="E109" s="78"/>
    </row>
    <row r="110" spans="1:5" x14ac:dyDescent="0.25">
      <c r="A110" s="74" t="s">
        <v>415</v>
      </c>
      <c r="B110" s="60" t="s">
        <v>414</v>
      </c>
      <c r="C110" s="81">
        <v>34</v>
      </c>
      <c r="D110" s="81">
        <v>34</v>
      </c>
      <c r="E110" s="82">
        <f>MAX(C110:D110)</f>
        <v>34</v>
      </c>
    </row>
    <row r="111" spans="1:5" x14ac:dyDescent="0.25">
      <c r="A111" s="74"/>
      <c r="B111" s="60" t="s">
        <v>351</v>
      </c>
      <c r="C111" s="81">
        <v>0</v>
      </c>
      <c r="D111" s="81">
        <v>0</v>
      </c>
      <c r="E111" s="82">
        <f>MAX(C111:D111)</f>
        <v>0</v>
      </c>
    </row>
    <row r="112" spans="1:5" x14ac:dyDescent="0.25">
      <c r="A112" s="74"/>
      <c r="B112" s="60" t="s">
        <v>352</v>
      </c>
      <c r="C112" s="83">
        <v>162</v>
      </c>
      <c r="D112" s="83">
        <v>143</v>
      </c>
      <c r="E112" s="84">
        <f>MAX(C112:D112)</f>
        <v>162</v>
      </c>
    </row>
    <row r="113" spans="1:5" x14ac:dyDescent="0.25">
      <c r="A113" s="74"/>
      <c r="B113" s="60" t="s">
        <v>353</v>
      </c>
      <c r="C113" s="82">
        <f>SUM(C110:C112)</f>
        <v>196</v>
      </c>
      <c r="D113" s="82">
        <f t="shared" ref="D113:E113" si="25">SUM(D110:D112)</f>
        <v>177</v>
      </c>
      <c r="E113" s="82">
        <f t="shared" si="25"/>
        <v>196</v>
      </c>
    </row>
    <row r="114" spans="1:5" x14ac:dyDescent="0.25">
      <c r="A114" s="74"/>
      <c r="B114" s="60"/>
      <c r="C114" s="82"/>
      <c r="D114" s="82"/>
      <c r="E114" s="78"/>
    </row>
    <row r="115" spans="1:5" x14ac:dyDescent="0.25">
      <c r="A115" s="74"/>
      <c r="B115" s="60" t="s">
        <v>416</v>
      </c>
      <c r="C115" s="81">
        <v>93.4</v>
      </c>
      <c r="D115" s="81">
        <v>66</v>
      </c>
      <c r="E115" s="82">
        <f>C115</f>
        <v>93.4</v>
      </c>
    </row>
    <row r="116" spans="1:5" x14ac:dyDescent="0.25">
      <c r="C116" s="82"/>
      <c r="D116" s="78"/>
    </row>
    <row r="117" spans="1:5" x14ac:dyDescent="0.25">
      <c r="A117" s="74" t="s">
        <v>355</v>
      </c>
      <c r="B117">
        <f>VALUE(RIGHT(E92,4))</f>
        <v>2017</v>
      </c>
      <c r="C117" s="81">
        <v>1299790</v>
      </c>
      <c r="D117" s="81">
        <v>66414</v>
      </c>
      <c r="E117" s="82">
        <f t="shared" ref="E117:E126" si="26">SUM(C117:D117)*(1+$E$2)</f>
        <v>1386697.0599999998</v>
      </c>
    </row>
    <row r="118" spans="1:5" x14ac:dyDescent="0.25">
      <c r="B118">
        <f>B117+1</f>
        <v>2018</v>
      </c>
      <c r="C118" s="81">
        <v>1333769</v>
      </c>
      <c r="D118" s="81">
        <v>76797</v>
      </c>
      <c r="E118" s="82">
        <f t="shared" si="26"/>
        <v>1431724.4899999998</v>
      </c>
    </row>
    <row r="119" spans="1:5" x14ac:dyDescent="0.25">
      <c r="B119">
        <f t="shared" ref="B119:B126" si="27">B118+1</f>
        <v>2019</v>
      </c>
      <c r="C119" s="81">
        <v>1364110</v>
      </c>
      <c r="D119" s="81">
        <v>88155</v>
      </c>
      <c r="E119" s="82">
        <f t="shared" si="26"/>
        <v>1474048.9749999999</v>
      </c>
    </row>
    <row r="120" spans="1:5" x14ac:dyDescent="0.25">
      <c r="B120">
        <f t="shared" si="27"/>
        <v>2020</v>
      </c>
      <c r="C120" s="81">
        <v>1388625</v>
      </c>
      <c r="D120" s="81">
        <v>95008</v>
      </c>
      <c r="E120" s="82">
        <f t="shared" si="26"/>
        <v>1505887.4949999999</v>
      </c>
    </row>
    <row r="121" spans="1:5" x14ac:dyDescent="0.25">
      <c r="B121">
        <f t="shared" si="27"/>
        <v>2021</v>
      </c>
      <c r="C121" s="81">
        <v>1418253</v>
      </c>
      <c r="D121" s="81">
        <v>108919</v>
      </c>
      <c r="E121" s="82">
        <f t="shared" si="26"/>
        <v>1550079.5799999998</v>
      </c>
    </row>
    <row r="122" spans="1:5" x14ac:dyDescent="0.25">
      <c r="B122">
        <f t="shared" si="27"/>
        <v>2022</v>
      </c>
      <c r="C122" s="81">
        <v>1430060</v>
      </c>
      <c r="D122" s="81">
        <v>110074</v>
      </c>
      <c r="E122" s="82">
        <f t="shared" si="26"/>
        <v>1563236.0099999998</v>
      </c>
    </row>
    <row r="123" spans="1:5" x14ac:dyDescent="0.25">
      <c r="B123">
        <f t="shared" si="27"/>
        <v>2023</v>
      </c>
      <c r="C123" s="81">
        <v>1451758</v>
      </c>
      <c r="D123" s="81">
        <v>117638</v>
      </c>
      <c r="E123" s="82">
        <f t="shared" si="26"/>
        <v>1592936.94</v>
      </c>
    </row>
    <row r="124" spans="1:5" x14ac:dyDescent="0.25">
      <c r="B124">
        <f t="shared" si="27"/>
        <v>2024</v>
      </c>
      <c r="C124" s="81">
        <v>1466726</v>
      </c>
      <c r="D124" s="81">
        <v>123554</v>
      </c>
      <c r="E124" s="82">
        <f t="shared" si="26"/>
        <v>1614134.2</v>
      </c>
    </row>
    <row r="125" spans="1:5" x14ac:dyDescent="0.25">
      <c r="B125">
        <f t="shared" si="27"/>
        <v>2025</v>
      </c>
      <c r="C125" s="81">
        <v>1448224</v>
      </c>
      <c r="D125" s="81">
        <v>111088</v>
      </c>
      <c r="E125" s="82">
        <f t="shared" si="26"/>
        <v>1582701.68</v>
      </c>
    </row>
    <row r="126" spans="1:5" x14ac:dyDescent="0.25">
      <c r="B126">
        <f t="shared" si="27"/>
        <v>2026</v>
      </c>
      <c r="C126" s="81">
        <v>1452408</v>
      </c>
      <c r="D126" s="81">
        <v>128963</v>
      </c>
      <c r="E126" s="82">
        <f t="shared" si="26"/>
        <v>1605091.5649999999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1"/>
  <sheetViews>
    <sheetView workbookViewId="0"/>
  </sheetViews>
  <sheetFormatPr defaultRowHeight="15" x14ac:dyDescent="0.25"/>
  <cols>
    <col min="1" max="1" width="57.5703125" bestFit="1" customWidth="1"/>
    <col min="2" max="2" width="7.28515625" bestFit="1" customWidth="1"/>
    <col min="4" max="4" width="40" bestFit="1" customWidth="1"/>
    <col min="8" max="8" width="40.140625" bestFit="1" customWidth="1"/>
  </cols>
  <sheetData>
    <row r="1" spans="1:9" x14ac:dyDescent="0.25">
      <c r="A1" s="94" t="s">
        <v>450</v>
      </c>
      <c r="B1" s="88"/>
    </row>
    <row r="2" spans="1:9" x14ac:dyDescent="0.25">
      <c r="A2" s="88"/>
      <c r="B2" s="95" t="b">
        <f>B31=E21</f>
        <v>1</v>
      </c>
    </row>
    <row r="3" spans="1:9" x14ac:dyDescent="0.25">
      <c r="A3" s="88" t="s">
        <v>485</v>
      </c>
      <c r="B3" s="88"/>
      <c r="D3" t="s">
        <v>486</v>
      </c>
      <c r="H3" t="s">
        <v>497</v>
      </c>
    </row>
    <row r="4" spans="1:9" x14ac:dyDescent="0.25">
      <c r="A4" s="88" t="s">
        <v>451</v>
      </c>
      <c r="B4" s="88"/>
      <c r="D4" s="88" t="s">
        <v>472</v>
      </c>
      <c r="E4" s="88">
        <f>ROUND('OPEVS results'!C9/1000,0)*(1+Calculations!B13)</f>
        <v>368.51399999999995</v>
      </c>
      <c r="H4" s="88" t="s">
        <v>487</v>
      </c>
      <c r="I4" s="88"/>
    </row>
    <row r="5" spans="1:9" x14ac:dyDescent="0.25">
      <c r="A5" s="88" t="s">
        <v>452</v>
      </c>
      <c r="B5" s="88">
        <f>ROUND('OPEVS results'!C9/1000,0)</f>
        <v>354</v>
      </c>
      <c r="D5" s="88"/>
      <c r="E5" s="88"/>
      <c r="H5" s="88"/>
      <c r="I5" s="88"/>
    </row>
    <row r="6" spans="1:9" x14ac:dyDescent="0.25">
      <c r="A6" s="88" t="s">
        <v>453</v>
      </c>
      <c r="B6" s="88">
        <f>B5*B13</f>
        <v>14.514000000000001</v>
      </c>
      <c r="D6" s="88" t="s">
        <v>473</v>
      </c>
      <c r="E6" s="88">
        <f>ROUND('OPEVS results'!C11/1000,0)</f>
        <v>1392</v>
      </c>
      <c r="H6" s="88"/>
      <c r="I6" s="88"/>
    </row>
    <row r="7" spans="1:9" x14ac:dyDescent="0.25">
      <c r="A7" s="88" t="s">
        <v>454</v>
      </c>
      <c r="B7" s="88">
        <f>B5+B6</f>
        <v>368.51400000000001</v>
      </c>
      <c r="D7" s="88"/>
      <c r="E7" s="88"/>
      <c r="H7" s="88" t="s">
        <v>488</v>
      </c>
      <c r="I7" s="88">
        <v>0</v>
      </c>
    </row>
    <row r="8" spans="1:9" x14ac:dyDescent="0.25">
      <c r="A8" s="88"/>
      <c r="B8" s="88"/>
      <c r="D8" s="88" t="s">
        <v>474</v>
      </c>
      <c r="E8" s="88"/>
      <c r="H8" s="88"/>
      <c r="I8" s="88"/>
    </row>
    <row r="9" spans="1:9" x14ac:dyDescent="0.25">
      <c r="A9" s="88" t="s">
        <v>455</v>
      </c>
      <c r="B9" s="88"/>
      <c r="D9" s="88" t="s">
        <v>475</v>
      </c>
      <c r="E9" s="88">
        <f>B23</f>
        <v>0</v>
      </c>
      <c r="H9" s="88" t="s">
        <v>489</v>
      </c>
      <c r="I9" s="88">
        <f>-Calculations!B23</f>
        <v>1542</v>
      </c>
    </row>
    <row r="10" spans="1:9" x14ac:dyDescent="0.25">
      <c r="A10" s="88" t="s">
        <v>456</v>
      </c>
      <c r="B10" s="88">
        <f>Calculations!E27</f>
        <v>34723</v>
      </c>
      <c r="D10" s="88" t="s">
        <v>476</v>
      </c>
      <c r="E10" s="88">
        <f>I22</f>
        <v>0</v>
      </c>
      <c r="H10" s="88"/>
      <c r="I10" s="88"/>
    </row>
    <row r="11" spans="1:9" x14ac:dyDescent="0.25">
      <c r="A11" s="88" t="s">
        <v>457</v>
      </c>
      <c r="B11" s="88">
        <f>ROUND(Calculations!B24/2,0)</f>
        <v>776</v>
      </c>
      <c r="D11" s="88" t="s">
        <v>98</v>
      </c>
      <c r="E11" s="88">
        <f>E9-E10</f>
        <v>0</v>
      </c>
      <c r="H11" s="88" t="s">
        <v>490</v>
      </c>
      <c r="I11" s="88">
        <v>0</v>
      </c>
    </row>
    <row r="12" spans="1:9" x14ac:dyDescent="0.25">
      <c r="A12" s="88" t="s">
        <v>458</v>
      </c>
      <c r="B12" s="88">
        <f>B10-B11</f>
        <v>33947</v>
      </c>
      <c r="D12" s="88"/>
      <c r="E12" s="88"/>
      <c r="H12" s="88"/>
      <c r="I12" s="88"/>
    </row>
    <row r="13" spans="1:9" x14ac:dyDescent="0.25">
      <c r="A13" s="88" t="s">
        <v>459</v>
      </c>
      <c r="B13" s="75">
        <f>Calculations!B13</f>
        <v>4.1000000000000002E-2</v>
      </c>
      <c r="D13" s="88" t="s">
        <v>477</v>
      </c>
      <c r="E13" s="88"/>
      <c r="H13" s="88" t="s">
        <v>491</v>
      </c>
      <c r="I13" s="88">
        <f>-Calculations!B23</f>
        <v>1542</v>
      </c>
    </row>
    <row r="14" spans="1:9" x14ac:dyDescent="0.25">
      <c r="A14" s="88" t="s">
        <v>460</v>
      </c>
      <c r="B14" s="88">
        <f>ROUND(B12*B13,0)</f>
        <v>1392</v>
      </c>
      <c r="D14" s="88" t="s">
        <v>478</v>
      </c>
      <c r="E14" s="88">
        <f>B25</f>
        <v>0</v>
      </c>
      <c r="H14" s="88"/>
      <c r="I14" s="88"/>
    </row>
    <row r="15" spans="1:9" x14ac:dyDescent="0.25">
      <c r="A15" s="88"/>
      <c r="B15" s="88"/>
      <c r="D15" s="88" t="s">
        <v>479</v>
      </c>
      <c r="E15" s="88">
        <f>B27</f>
        <v>-262</v>
      </c>
      <c r="H15" s="88" t="s">
        <v>492</v>
      </c>
      <c r="I15" s="88">
        <v>0</v>
      </c>
    </row>
    <row r="16" spans="1:9" x14ac:dyDescent="0.25">
      <c r="A16" s="88" t="s">
        <v>461</v>
      </c>
      <c r="B16" s="88"/>
      <c r="D16" s="88" t="s">
        <v>480</v>
      </c>
      <c r="E16" s="88">
        <f>B29</f>
        <v>0</v>
      </c>
      <c r="H16" s="88"/>
      <c r="I16" s="88"/>
    </row>
    <row r="17" spans="1:9" x14ac:dyDescent="0.25">
      <c r="A17" s="88" t="s">
        <v>462</v>
      </c>
      <c r="B17" s="88">
        <v>0</v>
      </c>
      <c r="D17" s="88" t="s">
        <v>481</v>
      </c>
      <c r="E17" s="88">
        <f>E10</f>
        <v>0</v>
      </c>
      <c r="H17" s="88" t="s">
        <v>493</v>
      </c>
      <c r="I17" s="88">
        <f>I7+I9+I11-I13-I15</f>
        <v>0</v>
      </c>
    </row>
    <row r="18" spans="1:9" x14ac:dyDescent="0.25">
      <c r="A18" s="88" t="s">
        <v>457</v>
      </c>
      <c r="B18" s="88">
        <f>B11</f>
        <v>776</v>
      </c>
      <c r="D18" s="88" t="s">
        <v>482</v>
      </c>
      <c r="E18" s="88">
        <f>E14+E15+E16-E17</f>
        <v>-262</v>
      </c>
      <c r="H18" s="88"/>
      <c r="I18" s="88"/>
    </row>
    <row r="19" spans="1:9" x14ac:dyDescent="0.25">
      <c r="A19" s="88" t="s">
        <v>463</v>
      </c>
      <c r="B19" s="88">
        <v>0</v>
      </c>
      <c r="D19" s="88"/>
      <c r="E19" s="88"/>
      <c r="H19" s="88" t="s">
        <v>494</v>
      </c>
      <c r="I19" s="88">
        <f>B23</f>
        <v>0</v>
      </c>
    </row>
    <row r="20" spans="1:9" x14ac:dyDescent="0.25">
      <c r="A20" s="88" t="s">
        <v>464</v>
      </c>
      <c r="B20" s="88">
        <f>B11</f>
        <v>776</v>
      </c>
      <c r="D20" s="88" t="s">
        <v>483</v>
      </c>
      <c r="E20" s="88"/>
      <c r="H20" s="88"/>
      <c r="I20" s="88"/>
    </row>
    <row r="21" spans="1:9" x14ac:dyDescent="0.25">
      <c r="A21" s="88" t="s">
        <v>465</v>
      </c>
      <c r="B21" s="88">
        <f>B17-B18-B19+B20</f>
        <v>0</v>
      </c>
      <c r="D21" s="88" t="s">
        <v>484</v>
      </c>
      <c r="E21" s="94">
        <f>E4+E6-E11+E18</f>
        <v>1498.5139999999999</v>
      </c>
      <c r="H21" s="88" t="s">
        <v>495</v>
      </c>
      <c r="I21" s="88"/>
    </row>
    <row r="22" spans="1:9" x14ac:dyDescent="0.25">
      <c r="A22" s="88" t="s">
        <v>466</v>
      </c>
      <c r="B22" s="75">
        <f>Calculations!B17</f>
        <v>7.4999999999999997E-2</v>
      </c>
      <c r="H22" s="88" t="s">
        <v>496</v>
      </c>
      <c r="I22" s="88">
        <f>I19-I17</f>
        <v>0</v>
      </c>
    </row>
    <row r="23" spans="1:9" x14ac:dyDescent="0.25">
      <c r="A23" s="88" t="s">
        <v>467</v>
      </c>
      <c r="B23" s="88">
        <f>B21*B22</f>
        <v>0</v>
      </c>
    </row>
    <row r="24" spans="1:9" x14ac:dyDescent="0.25">
      <c r="A24" s="88"/>
      <c r="B24" s="88"/>
    </row>
    <row r="25" spans="1:9" x14ac:dyDescent="0.25">
      <c r="A25" s="88" t="s">
        <v>468</v>
      </c>
      <c r="B25" s="88">
        <v>0</v>
      </c>
    </row>
    <row r="26" spans="1:9" x14ac:dyDescent="0.25">
      <c r="A26" s="88"/>
      <c r="B26" s="88"/>
    </row>
    <row r="27" spans="1:9" x14ac:dyDescent="0.25">
      <c r="A27" s="88" t="s">
        <v>469</v>
      </c>
      <c r="B27" s="88">
        <f>Calculations!E13</f>
        <v>-262</v>
      </c>
    </row>
    <row r="28" spans="1:9" x14ac:dyDescent="0.25">
      <c r="A28" s="88"/>
      <c r="B28" s="88"/>
    </row>
    <row r="29" spans="1:9" x14ac:dyDescent="0.25">
      <c r="A29" s="88" t="s">
        <v>470</v>
      </c>
      <c r="B29" s="88">
        <v>0</v>
      </c>
    </row>
    <row r="30" spans="1:9" x14ac:dyDescent="0.25">
      <c r="A30" s="88"/>
      <c r="B30" s="88"/>
    </row>
    <row r="31" spans="1:9" x14ac:dyDescent="0.25">
      <c r="A31" s="88" t="s">
        <v>471</v>
      </c>
      <c r="B31" s="94">
        <f>B7+B14-B23+B25+B27+B29</f>
        <v>1498.5140000000001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2"/>
  <sheetViews>
    <sheetView workbookViewId="0"/>
  </sheetViews>
  <sheetFormatPr defaultRowHeight="15" x14ac:dyDescent="0.25"/>
  <cols>
    <col min="1" max="1" width="56" bestFit="1" customWidth="1"/>
    <col min="4" max="4" width="49.85546875" bestFit="1" customWidth="1"/>
    <col min="7" max="7" width="56" bestFit="1" customWidth="1"/>
    <col min="10" max="10" width="40.5703125" bestFit="1" customWidth="1"/>
  </cols>
  <sheetData>
    <row r="1" spans="1:11" x14ac:dyDescent="0.25">
      <c r="A1" s="94" t="s">
        <v>551</v>
      </c>
      <c r="D1" t="s">
        <v>527</v>
      </c>
    </row>
    <row r="2" spans="1:11" x14ac:dyDescent="0.25">
      <c r="B2" s="95" t="b">
        <f>B18=E42</f>
        <v>1</v>
      </c>
      <c r="D2" s="88" t="s">
        <v>504</v>
      </c>
      <c r="E2" s="88"/>
    </row>
    <row r="3" spans="1:11" x14ac:dyDescent="0.25">
      <c r="D3" s="88"/>
      <c r="E3" s="88"/>
    </row>
    <row r="4" spans="1:11" x14ac:dyDescent="0.25">
      <c r="A4" t="s">
        <v>528</v>
      </c>
      <c r="D4" s="88"/>
      <c r="E4" s="88"/>
      <c r="G4" t="s">
        <v>536</v>
      </c>
      <c r="J4" t="s">
        <v>550</v>
      </c>
    </row>
    <row r="5" spans="1:11" x14ac:dyDescent="0.25">
      <c r="A5" s="88" t="s">
        <v>498</v>
      </c>
      <c r="B5" s="88"/>
      <c r="D5" s="88" t="s">
        <v>505</v>
      </c>
      <c r="E5" s="88"/>
      <c r="G5" s="88" t="s">
        <v>498</v>
      </c>
      <c r="H5" s="88"/>
      <c r="J5" s="88" t="s">
        <v>390</v>
      </c>
      <c r="K5" s="88"/>
    </row>
    <row r="6" spans="1:11" x14ac:dyDescent="0.25">
      <c r="A6" s="88"/>
      <c r="B6" s="88"/>
      <c r="D6" s="88" t="s">
        <v>506</v>
      </c>
      <c r="E6" s="88"/>
      <c r="G6" s="88"/>
      <c r="H6" s="88"/>
      <c r="J6" s="88"/>
      <c r="K6" s="88"/>
    </row>
    <row r="7" spans="1:11" x14ac:dyDescent="0.25">
      <c r="A7" s="88"/>
      <c r="B7" s="88"/>
      <c r="D7" s="88"/>
      <c r="E7" s="88"/>
      <c r="G7" s="88"/>
      <c r="H7" s="88"/>
      <c r="J7" s="88"/>
      <c r="K7" s="88"/>
    </row>
    <row r="8" spans="1:11" x14ac:dyDescent="0.25">
      <c r="A8" s="88" t="s">
        <v>526</v>
      </c>
      <c r="B8" s="88">
        <f>Calculations!B35</f>
        <v>31619</v>
      </c>
      <c r="D8" s="88" t="s">
        <v>507</v>
      </c>
      <c r="E8" s="88">
        <f>H18</f>
        <v>1548</v>
      </c>
      <c r="G8" s="88" t="s">
        <v>526</v>
      </c>
      <c r="H8" s="88">
        <f>Calculations!B34</f>
        <v>34723</v>
      </c>
      <c r="J8" s="88" t="s">
        <v>391</v>
      </c>
      <c r="K8" s="88">
        <f>Calculations!B34</f>
        <v>34723</v>
      </c>
    </row>
    <row r="9" spans="1:11" x14ac:dyDescent="0.25">
      <c r="A9" s="88"/>
      <c r="B9" s="88"/>
      <c r="D9" s="88" t="s">
        <v>508</v>
      </c>
      <c r="E9" s="88"/>
      <c r="G9" s="88"/>
      <c r="H9" s="88"/>
      <c r="J9" s="88"/>
      <c r="K9" s="88"/>
    </row>
    <row r="10" spans="1:11" x14ac:dyDescent="0.25">
      <c r="A10" s="88" t="s">
        <v>499</v>
      </c>
      <c r="B10" s="88">
        <v>0</v>
      </c>
      <c r="D10" s="88" t="s">
        <v>509</v>
      </c>
      <c r="E10" s="88">
        <f>H38</f>
        <v>0</v>
      </c>
      <c r="G10" s="88" t="s">
        <v>499</v>
      </c>
      <c r="H10" s="88">
        <v>0</v>
      </c>
      <c r="J10" s="88" t="s">
        <v>392</v>
      </c>
      <c r="K10" s="88">
        <f>K8*Calculations!B13</f>
        <v>1423.643</v>
      </c>
    </row>
    <row r="11" spans="1:11" x14ac:dyDescent="0.25">
      <c r="A11" s="88"/>
      <c r="B11" s="88"/>
      <c r="D11" s="88"/>
      <c r="E11" s="88"/>
      <c r="G11" s="88"/>
      <c r="H11" s="88"/>
      <c r="J11" s="88"/>
      <c r="K11" s="88"/>
    </row>
    <row r="12" spans="1:11" x14ac:dyDescent="0.25">
      <c r="A12" s="88" t="s">
        <v>500</v>
      </c>
      <c r="B12" s="88">
        <v>0</v>
      </c>
      <c r="D12" s="88" t="s">
        <v>510</v>
      </c>
      <c r="E12" s="88">
        <f>E8-E10</f>
        <v>1548</v>
      </c>
      <c r="G12" s="88" t="s">
        <v>500</v>
      </c>
      <c r="H12" s="88">
        <v>0</v>
      </c>
      <c r="J12" s="88" t="s">
        <v>393</v>
      </c>
      <c r="K12" s="88">
        <f>ROUND('OPEVS results'!C9/1000,0)*(1+Calculations!B13)</f>
        <v>368.51399999999995</v>
      </c>
    </row>
    <row r="13" spans="1:11" x14ac:dyDescent="0.25">
      <c r="A13" s="88"/>
      <c r="B13" s="88"/>
      <c r="D13" s="88"/>
      <c r="E13" s="88"/>
      <c r="G13" s="88"/>
      <c r="H13" s="88"/>
      <c r="J13" s="88"/>
      <c r="K13" s="88"/>
    </row>
    <row r="14" spans="1:11" x14ac:dyDescent="0.25">
      <c r="A14" s="88" t="s">
        <v>501</v>
      </c>
      <c r="B14" s="88">
        <f>Calculations!E15</f>
        <v>-1180</v>
      </c>
      <c r="D14" s="88"/>
      <c r="E14" s="88"/>
      <c r="G14" s="88" t="s">
        <v>501</v>
      </c>
      <c r="H14" s="88">
        <f>Calculations!E14</f>
        <v>-1442</v>
      </c>
      <c r="J14" s="88" t="s">
        <v>394</v>
      </c>
      <c r="K14" s="88">
        <f>-Calculations!B23</f>
        <v>1542</v>
      </c>
    </row>
    <row r="15" spans="1:11" x14ac:dyDescent="0.25">
      <c r="A15" s="88"/>
      <c r="B15" s="88"/>
      <c r="D15" s="88" t="s">
        <v>511</v>
      </c>
      <c r="E15" s="88"/>
      <c r="G15" s="88"/>
      <c r="H15" s="88"/>
      <c r="J15" s="88"/>
      <c r="K15" s="88"/>
    </row>
    <row r="16" spans="1:11" x14ac:dyDescent="0.25">
      <c r="A16" s="88" t="s">
        <v>502</v>
      </c>
      <c r="B16" s="88">
        <f>B32</f>
        <v>-34573.514000000003</v>
      </c>
      <c r="D16" s="88" t="s">
        <v>512</v>
      </c>
      <c r="E16" s="88"/>
      <c r="G16" s="88" t="s">
        <v>502</v>
      </c>
      <c r="H16" s="88">
        <f>Calculations!B30</f>
        <v>-34617</v>
      </c>
      <c r="J16" s="88" t="s">
        <v>395</v>
      </c>
      <c r="K16" s="88">
        <f>K10-ROUND((Calculations!E27-ROUND(Calculations!B24/2,0))*Calculations!B13,0)</f>
        <v>31.643000000000029</v>
      </c>
    </row>
    <row r="17" spans="1:11" x14ac:dyDescent="0.25">
      <c r="A17" s="88"/>
      <c r="B17" s="88"/>
      <c r="D17" s="88"/>
      <c r="E17" s="88"/>
      <c r="G17" s="88"/>
      <c r="H17" s="88"/>
      <c r="J17" s="88" t="s">
        <v>396</v>
      </c>
      <c r="K17" s="88"/>
    </row>
    <row r="18" spans="1:11" x14ac:dyDescent="0.25">
      <c r="A18" s="88" t="s">
        <v>503</v>
      </c>
      <c r="B18" s="94">
        <f>B8-B10-B12-B14+B16</f>
        <v>-1774.5140000000029</v>
      </c>
      <c r="D18" s="88" t="s">
        <v>513</v>
      </c>
      <c r="E18" s="88">
        <f>Calculations!B35</f>
        <v>31619</v>
      </c>
      <c r="G18" s="88" t="s">
        <v>503</v>
      </c>
      <c r="H18" s="88">
        <f>H8-H10-H12-H14+H16</f>
        <v>1548</v>
      </c>
      <c r="J18" s="88"/>
      <c r="K18" s="88"/>
    </row>
    <row r="19" spans="1:11" x14ac:dyDescent="0.25">
      <c r="D19" s="88" t="s">
        <v>508</v>
      </c>
      <c r="E19" s="88"/>
      <c r="J19" s="88" t="s">
        <v>397</v>
      </c>
      <c r="K19" s="88"/>
    </row>
    <row r="20" spans="1:11" x14ac:dyDescent="0.25">
      <c r="D20" s="88" t="s">
        <v>514</v>
      </c>
      <c r="E20" s="88"/>
      <c r="G20" s="88" t="s">
        <v>537</v>
      </c>
      <c r="H20" s="88"/>
      <c r="J20" s="88" t="s">
        <v>398</v>
      </c>
      <c r="K20" s="88">
        <f>K8+K10+K12-K14-K16</f>
        <v>34941.513999999996</v>
      </c>
    </row>
    <row r="21" spans="1:11" x14ac:dyDescent="0.25">
      <c r="A21" t="s">
        <v>534</v>
      </c>
      <c r="D21" s="88" t="s">
        <v>515</v>
      </c>
      <c r="E21" s="88">
        <f>K20</f>
        <v>34941.513999999996</v>
      </c>
      <c r="G21" s="88" t="s">
        <v>538</v>
      </c>
      <c r="H21" s="88">
        <v>0</v>
      </c>
    </row>
    <row r="22" spans="1:11" x14ac:dyDescent="0.25">
      <c r="A22" s="88" t="s">
        <v>529</v>
      </c>
      <c r="B22" s="88"/>
      <c r="D22" s="88"/>
      <c r="E22" s="88"/>
      <c r="G22" s="88" t="s">
        <v>539</v>
      </c>
      <c r="H22" s="88">
        <v>0</v>
      </c>
    </row>
    <row r="23" spans="1:11" x14ac:dyDescent="0.25">
      <c r="A23" s="88"/>
      <c r="B23" s="88"/>
      <c r="D23" s="88" t="s">
        <v>516</v>
      </c>
      <c r="E23" s="88">
        <f>E18-E21</f>
        <v>-3322.5139999999956</v>
      </c>
      <c r="G23" s="88" t="s">
        <v>540</v>
      </c>
      <c r="H23" s="88"/>
    </row>
    <row r="24" spans="1:11" x14ac:dyDescent="0.25">
      <c r="A24" s="88"/>
      <c r="B24" s="88"/>
      <c r="D24" s="88"/>
      <c r="E24" s="88"/>
      <c r="G24" s="88" t="s">
        <v>541</v>
      </c>
      <c r="H24" s="88">
        <v>0</v>
      </c>
    </row>
    <row r="25" spans="1:11" x14ac:dyDescent="0.25">
      <c r="A25" s="88" t="s">
        <v>530</v>
      </c>
      <c r="B25" s="88">
        <f>Calculations!B30</f>
        <v>-34617</v>
      </c>
      <c r="D25" s="88"/>
      <c r="E25" s="88"/>
      <c r="G25" s="88" t="s">
        <v>542</v>
      </c>
      <c r="H25" s="88">
        <f>H21-H22-H24</f>
        <v>0</v>
      </c>
    </row>
    <row r="26" spans="1:11" x14ac:dyDescent="0.25">
      <c r="A26" s="88"/>
      <c r="B26" s="88"/>
      <c r="D26" s="88" t="s">
        <v>517</v>
      </c>
      <c r="E26" s="88"/>
      <c r="G26" s="88"/>
      <c r="H26" s="88"/>
    </row>
    <row r="27" spans="1:11" x14ac:dyDescent="0.25">
      <c r="A27" s="88" t="s">
        <v>531</v>
      </c>
      <c r="B27" s="88">
        <f>'NPPBC check'!B31</f>
        <v>1498.5140000000001</v>
      </c>
      <c r="D27" s="88" t="s">
        <v>518</v>
      </c>
      <c r="E27" s="88"/>
      <c r="G27" s="88" t="s">
        <v>543</v>
      </c>
      <c r="H27" s="88">
        <f>H18+H25</f>
        <v>1548</v>
      </c>
    </row>
    <row r="28" spans="1:11" x14ac:dyDescent="0.25">
      <c r="A28" s="88"/>
      <c r="B28" s="88"/>
      <c r="D28" s="88"/>
      <c r="E28" s="88"/>
      <c r="G28" s="88"/>
      <c r="H28" s="88"/>
    </row>
    <row r="29" spans="1:11" x14ac:dyDescent="0.25">
      <c r="A29" s="88" t="s">
        <v>532</v>
      </c>
      <c r="B29" s="88">
        <f>-Calculations!B23</f>
        <v>1542</v>
      </c>
      <c r="D29" s="88" t="s">
        <v>519</v>
      </c>
      <c r="E29" s="88">
        <v>0</v>
      </c>
      <c r="G29" s="88" t="s">
        <v>544</v>
      </c>
      <c r="H29" s="88">
        <f>MAX(H8,H22)</f>
        <v>34723</v>
      </c>
    </row>
    <row r="30" spans="1:11" x14ac:dyDescent="0.25">
      <c r="A30" s="88"/>
      <c r="B30" s="88"/>
      <c r="D30" s="88"/>
      <c r="E30" s="88"/>
      <c r="G30" s="88"/>
      <c r="H30" s="88"/>
    </row>
    <row r="31" spans="1:11" x14ac:dyDescent="0.25">
      <c r="A31" s="88" t="s">
        <v>533</v>
      </c>
      <c r="B31" s="88"/>
      <c r="D31" s="88" t="s">
        <v>520</v>
      </c>
      <c r="E31" s="88">
        <v>0</v>
      </c>
      <c r="G31" s="88" t="s">
        <v>545</v>
      </c>
      <c r="H31" s="88">
        <f>H29*0.1</f>
        <v>3472.3</v>
      </c>
    </row>
    <row r="32" spans="1:11" x14ac:dyDescent="0.25">
      <c r="A32" s="88" t="s">
        <v>535</v>
      </c>
      <c r="B32" s="88">
        <f>B25-B27+B29</f>
        <v>-34573.514000000003</v>
      </c>
      <c r="D32" s="88"/>
      <c r="E32" s="88"/>
      <c r="G32" s="88"/>
      <c r="H32" s="88"/>
    </row>
    <row r="33" spans="4:8" x14ac:dyDescent="0.25">
      <c r="D33" s="88" t="s">
        <v>521</v>
      </c>
      <c r="E33" s="88">
        <v>0</v>
      </c>
      <c r="G33" s="88" t="s">
        <v>546</v>
      </c>
      <c r="H33" s="88"/>
    </row>
    <row r="34" spans="4:8" x14ac:dyDescent="0.25">
      <c r="D34" s="88"/>
      <c r="E34" s="88"/>
      <c r="G34" s="88" t="s">
        <v>547</v>
      </c>
      <c r="H34" s="5">
        <f>ROUND((ABS(H27+0.001)/(H27+0.001))*MAX(0,ABS(H27)-H31),0)</f>
        <v>0</v>
      </c>
    </row>
    <row r="35" spans="4:8" x14ac:dyDescent="0.25">
      <c r="D35" s="88" t="s">
        <v>522</v>
      </c>
      <c r="E35" s="88">
        <f>E29-E31+E33</f>
        <v>0</v>
      </c>
      <c r="G35" s="88"/>
      <c r="H35" s="88"/>
    </row>
    <row r="36" spans="4:8" x14ac:dyDescent="0.25">
      <c r="D36" s="88"/>
      <c r="E36" s="88"/>
      <c r="G36" s="88" t="s">
        <v>548</v>
      </c>
      <c r="H36" s="96">
        <f>Calculations!E12</f>
        <v>8.5</v>
      </c>
    </row>
    <row r="37" spans="4:8" x14ac:dyDescent="0.25">
      <c r="D37" s="88"/>
      <c r="E37" s="88"/>
      <c r="G37" s="88"/>
      <c r="H37" s="88"/>
    </row>
    <row r="38" spans="4:8" x14ac:dyDescent="0.25">
      <c r="D38" s="88" t="s">
        <v>523</v>
      </c>
      <c r="E38" s="88"/>
      <c r="G38" s="88" t="s">
        <v>549</v>
      </c>
      <c r="H38" s="88">
        <f>H34/H36</f>
        <v>0</v>
      </c>
    </row>
    <row r="39" spans="4:8" x14ac:dyDescent="0.25">
      <c r="D39" s="88" t="s">
        <v>518</v>
      </c>
      <c r="E39" s="88"/>
    </row>
    <row r="40" spans="4:8" x14ac:dyDescent="0.25">
      <c r="D40" s="88"/>
      <c r="E40" s="88"/>
    </row>
    <row r="41" spans="4:8" x14ac:dyDescent="0.25">
      <c r="D41" s="88" t="s">
        <v>524</v>
      </c>
      <c r="E41" s="88"/>
    </row>
    <row r="42" spans="4:8" x14ac:dyDescent="0.25">
      <c r="D42" s="88" t="s">
        <v>525</v>
      </c>
      <c r="E42" s="94">
        <f>E12+E23+E35</f>
        <v>-1774.5139999999956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workbookViewId="0"/>
  </sheetViews>
  <sheetFormatPr defaultRowHeight="15" x14ac:dyDescent="0.25"/>
  <cols>
    <col min="1" max="1" width="58.42578125" bestFit="1" customWidth="1"/>
    <col min="4" max="4" width="45.7109375" bestFit="1" customWidth="1"/>
  </cols>
  <sheetData>
    <row r="1" spans="1:5" x14ac:dyDescent="0.25">
      <c r="A1" s="94" t="s">
        <v>529</v>
      </c>
    </row>
    <row r="2" spans="1:5" x14ac:dyDescent="0.25">
      <c r="B2" s="95" t="b">
        <f>B15=E20</f>
        <v>1</v>
      </c>
    </row>
    <row r="4" spans="1:5" x14ac:dyDescent="0.25">
      <c r="A4" t="s">
        <v>534</v>
      </c>
      <c r="D4" t="s">
        <v>559</v>
      </c>
      <c r="E4" s="88"/>
    </row>
    <row r="5" spans="1:5" x14ac:dyDescent="0.25">
      <c r="A5" s="88" t="s">
        <v>529</v>
      </c>
      <c r="B5" s="88"/>
      <c r="D5" s="88" t="s">
        <v>552</v>
      </c>
      <c r="E5" s="88"/>
    </row>
    <row r="6" spans="1:5" x14ac:dyDescent="0.25">
      <c r="A6" s="88"/>
      <c r="B6" s="88"/>
      <c r="D6" s="88"/>
      <c r="E6" s="88"/>
    </row>
    <row r="7" spans="1:5" x14ac:dyDescent="0.25">
      <c r="A7" s="88"/>
      <c r="B7" s="88"/>
      <c r="D7" s="88" t="s">
        <v>553</v>
      </c>
      <c r="E7" s="88">
        <f>-Calculations!B35</f>
        <v>-31619</v>
      </c>
    </row>
    <row r="8" spans="1:5" x14ac:dyDescent="0.25">
      <c r="A8" s="88" t="s">
        <v>530</v>
      </c>
      <c r="B8" s="88">
        <f>Calculations!B30</f>
        <v>-34617</v>
      </c>
      <c r="D8" s="88"/>
      <c r="E8" s="88"/>
    </row>
    <row r="9" spans="1:5" x14ac:dyDescent="0.25">
      <c r="A9" s="88"/>
      <c r="B9" s="88"/>
      <c r="D9" s="88" t="s">
        <v>554</v>
      </c>
      <c r="E9" s="88">
        <v>0</v>
      </c>
    </row>
    <row r="10" spans="1:5" x14ac:dyDescent="0.25">
      <c r="A10" s="88" t="s">
        <v>531</v>
      </c>
      <c r="B10" s="88">
        <f>'NPPBC check'!B31</f>
        <v>1498.5140000000001</v>
      </c>
      <c r="D10" s="88"/>
      <c r="E10" s="88"/>
    </row>
    <row r="11" spans="1:5" x14ac:dyDescent="0.25">
      <c r="A11" s="88"/>
      <c r="B11" s="88"/>
      <c r="D11" s="88" t="s">
        <v>183</v>
      </c>
      <c r="E11" s="88">
        <f>E7+E9</f>
        <v>-31619</v>
      </c>
    </row>
    <row r="12" spans="1:5" x14ac:dyDescent="0.25">
      <c r="A12" s="88" t="s">
        <v>532</v>
      </c>
      <c r="B12" s="88">
        <f>-Calculations!B23</f>
        <v>1542</v>
      </c>
      <c r="D12" s="88"/>
      <c r="E12" s="88"/>
    </row>
    <row r="13" spans="1:5" x14ac:dyDescent="0.25">
      <c r="A13" s="88"/>
      <c r="B13" s="88"/>
      <c r="D13" s="88" t="s">
        <v>555</v>
      </c>
      <c r="E13" s="88">
        <v>0</v>
      </c>
    </row>
    <row r="14" spans="1:5" x14ac:dyDescent="0.25">
      <c r="A14" s="88" t="s">
        <v>533</v>
      </c>
      <c r="B14" s="88"/>
      <c r="D14" s="88"/>
      <c r="E14" s="88"/>
    </row>
    <row r="15" spans="1:5" x14ac:dyDescent="0.25">
      <c r="A15" s="88" t="s">
        <v>535</v>
      </c>
      <c r="B15" s="88">
        <f>B8-B10+B12</f>
        <v>-34573.514000000003</v>
      </c>
      <c r="D15" s="88" t="s">
        <v>556</v>
      </c>
      <c r="E15" s="88">
        <f>Calculations!E15</f>
        <v>-1180</v>
      </c>
    </row>
    <row r="16" spans="1:5" x14ac:dyDescent="0.25">
      <c r="D16" s="88"/>
      <c r="E16" s="88"/>
    </row>
    <row r="17" spans="4:5" x14ac:dyDescent="0.25">
      <c r="D17" s="88" t="s">
        <v>557</v>
      </c>
      <c r="E17" s="88">
        <f>'Gain-loss check'!B18</f>
        <v>-1774.5140000000029</v>
      </c>
    </row>
    <row r="18" spans="4:5" x14ac:dyDescent="0.25">
      <c r="D18" s="88"/>
      <c r="E18" s="88"/>
    </row>
    <row r="19" spans="4:5" x14ac:dyDescent="0.25">
      <c r="D19" s="88" t="s">
        <v>558</v>
      </c>
      <c r="E19" s="88"/>
    </row>
    <row r="20" spans="4:5" x14ac:dyDescent="0.25">
      <c r="D20" s="88" t="s">
        <v>560</v>
      </c>
      <c r="E20" s="88">
        <f>E11+E13+E15+E17</f>
        <v>-34573.514000000003</v>
      </c>
    </row>
    <row r="21" spans="4:5" x14ac:dyDescent="0.25">
      <c r="E21" s="8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Calculations</vt:lpstr>
      <vt:lpstr>OPEVS results</vt:lpstr>
      <vt:lpstr>OPEVS runs</vt:lpstr>
      <vt:lpstr>NPPBC check</vt:lpstr>
      <vt:lpstr>Gain-loss check</vt:lpstr>
      <vt:lpstr>Prepaid Benefit Cost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2019-11-01T23:08:32Z</dcterms:modified>
</cp:coreProperties>
</file>